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3176"/>
  </bookViews>
  <sheets>
    <sheet name="Аркуш1" sheetId="1" r:id="rId1"/>
  </sheets>
  <definedNames>
    <definedName name="_xlnm._FilterDatabase" localSheetId="0" hidden="1">Аркуш1!$A$18:$R$76</definedName>
    <definedName name="_xlnm.Print_Titles" localSheetId="0">Аркуш1!$14:$18</definedName>
    <definedName name="_xlnm.Print_Area" localSheetId="0">Аркуш1!$A$1:$P$79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 i="1" l="1"/>
  <c r="F54" i="1"/>
  <c r="F60" i="1" l="1"/>
  <c r="G70" i="1"/>
  <c r="F70" i="1"/>
  <c r="G58" i="1"/>
  <c r="F58" i="1"/>
  <c r="H70" i="1"/>
  <c r="H68" i="1"/>
  <c r="F68" i="1"/>
  <c r="H60" i="1"/>
  <c r="F53" i="1"/>
  <c r="H53" i="1"/>
  <c r="I35" i="1"/>
  <c r="F22" i="1"/>
  <c r="F75" i="1"/>
  <c r="J62" i="1"/>
  <c r="E62" i="1"/>
  <c r="H30" i="1"/>
  <c r="F30" i="1"/>
  <c r="G53" i="1"/>
  <c r="I23" i="1"/>
  <c r="F23" i="1"/>
  <c r="F21" i="1"/>
  <c r="J63" i="1"/>
  <c r="E63" i="1"/>
  <c r="P63" i="1" l="1"/>
  <c r="P62" i="1"/>
  <c r="F52" i="1"/>
  <c r="H52" i="1"/>
  <c r="F57" i="1"/>
  <c r="H54" i="1"/>
  <c r="F46" i="1" l="1"/>
  <c r="J31" i="1" l="1"/>
  <c r="E31" i="1"/>
  <c r="F32" i="1"/>
  <c r="P31" i="1" l="1"/>
  <c r="I75" i="1"/>
  <c r="J26" i="1" l="1"/>
  <c r="E26" i="1"/>
  <c r="J74" i="1"/>
  <c r="F74" i="1"/>
  <c r="E74" i="1" s="1"/>
  <c r="O72" i="1"/>
  <c r="N72" i="1"/>
  <c r="M72" i="1"/>
  <c r="L72" i="1"/>
  <c r="K72" i="1"/>
  <c r="I72" i="1"/>
  <c r="H72" i="1"/>
  <c r="G72" i="1"/>
  <c r="O51" i="1"/>
  <c r="N51" i="1"/>
  <c r="M51" i="1"/>
  <c r="L51" i="1"/>
  <c r="K51" i="1"/>
  <c r="G51" i="1"/>
  <c r="N20" i="1"/>
  <c r="M20" i="1"/>
  <c r="L20" i="1"/>
  <c r="O48" i="1"/>
  <c r="J48" i="1" s="1"/>
  <c r="E48" i="1"/>
  <c r="O49" i="1"/>
  <c r="J49" i="1" s="1"/>
  <c r="J47" i="1"/>
  <c r="E47" i="1"/>
  <c r="H45" i="1"/>
  <c r="F45" i="1"/>
  <c r="F37" i="1"/>
  <c r="O36" i="1"/>
  <c r="O20" i="1" s="1"/>
  <c r="K36" i="1"/>
  <c r="K20" i="1" s="1"/>
  <c r="I36" i="1"/>
  <c r="H36" i="1"/>
  <c r="F36" i="1"/>
  <c r="G30" i="1"/>
  <c r="G29" i="1"/>
  <c r="F29" i="1"/>
  <c r="I20" i="1"/>
  <c r="H57" i="1"/>
  <c r="H51" i="1" s="1"/>
  <c r="I56" i="1"/>
  <c r="I51" i="1" s="1"/>
  <c r="F56" i="1"/>
  <c r="F51" i="1"/>
  <c r="H21" i="1"/>
  <c r="H20" i="1" l="1"/>
  <c r="F72" i="1"/>
  <c r="G20" i="1"/>
  <c r="P74" i="1"/>
  <c r="F20" i="1"/>
  <c r="P47" i="1"/>
  <c r="P26" i="1"/>
  <c r="P48" i="1"/>
  <c r="F76" i="1" l="1"/>
  <c r="J64" i="1"/>
  <c r="E64" i="1"/>
  <c r="P64" i="1" l="1"/>
  <c r="J65" i="1"/>
  <c r="J61" i="1"/>
  <c r="E65" i="1"/>
  <c r="P65" i="1" l="1"/>
  <c r="N76" i="1"/>
  <c r="N83" i="1" s="1"/>
  <c r="N87" i="1" s="1"/>
  <c r="M76" i="1"/>
  <c r="M83" i="1" s="1"/>
  <c r="M87" i="1" s="1"/>
  <c r="J75" i="1"/>
  <c r="J73" i="1"/>
  <c r="J70" i="1"/>
  <c r="J69" i="1"/>
  <c r="J67" i="1"/>
  <c r="J66" i="1"/>
  <c r="J60" i="1"/>
  <c r="J59" i="1"/>
  <c r="J58" i="1"/>
  <c r="J57" i="1"/>
  <c r="J56" i="1"/>
  <c r="J55" i="1"/>
  <c r="J54" i="1"/>
  <c r="J53" i="1"/>
  <c r="J52" i="1"/>
  <c r="E66" i="1"/>
  <c r="J72" i="1" l="1"/>
  <c r="P66" i="1"/>
  <c r="J51" i="1"/>
  <c r="J50" i="1" s="1"/>
  <c r="N50" i="1"/>
  <c r="M50" i="1"/>
  <c r="K50" i="1"/>
  <c r="E61" i="1"/>
  <c r="P61" i="1" s="1"/>
  <c r="O71" i="1"/>
  <c r="N71" i="1"/>
  <c r="M71" i="1"/>
  <c r="L71" i="1"/>
  <c r="K71" i="1"/>
  <c r="J71" i="1"/>
  <c r="O50" i="1"/>
  <c r="L50" i="1"/>
  <c r="E55" i="1"/>
  <c r="P55" i="1" s="1"/>
  <c r="N19" i="1" l="1"/>
  <c r="M19" i="1"/>
  <c r="O76" i="1"/>
  <c r="L76" i="1"/>
  <c r="L83" i="1" s="1"/>
  <c r="L87" i="1" s="1"/>
  <c r="K76" i="1"/>
  <c r="K83" i="1" s="1"/>
  <c r="K87" i="1" s="1"/>
  <c r="J46" i="1"/>
  <c r="J45" i="1"/>
  <c r="J44" i="1"/>
  <c r="J43" i="1"/>
  <c r="J42" i="1"/>
  <c r="J41" i="1"/>
  <c r="J40" i="1"/>
  <c r="J39" i="1"/>
  <c r="J38" i="1"/>
  <c r="J37" i="1"/>
  <c r="J36" i="1"/>
  <c r="J35" i="1"/>
  <c r="J34" i="1"/>
  <c r="J33" i="1"/>
  <c r="J32" i="1"/>
  <c r="J30" i="1"/>
  <c r="J29" i="1"/>
  <c r="J28" i="1"/>
  <c r="J27" i="1"/>
  <c r="J25" i="1"/>
  <c r="J24" i="1"/>
  <c r="J23" i="1"/>
  <c r="J22" i="1"/>
  <c r="J21" i="1"/>
  <c r="H71" i="1"/>
  <c r="G71" i="1"/>
  <c r="F71" i="1"/>
  <c r="I50" i="1"/>
  <c r="H50" i="1"/>
  <c r="G50" i="1"/>
  <c r="F50" i="1"/>
  <c r="I76" i="1"/>
  <c r="I83" i="1" s="1"/>
  <c r="I87" i="1" s="1"/>
  <c r="H76" i="1"/>
  <c r="H83" i="1" s="1"/>
  <c r="H87" i="1" s="1"/>
  <c r="G76" i="1"/>
  <c r="G83" i="1" s="1"/>
  <c r="G87" i="1" s="1"/>
  <c r="F83" i="1"/>
  <c r="F87" i="1" s="1"/>
  <c r="E75" i="1"/>
  <c r="E73" i="1"/>
  <c r="E70" i="1"/>
  <c r="E69" i="1"/>
  <c r="E68" i="1"/>
  <c r="E67" i="1"/>
  <c r="E60" i="1"/>
  <c r="E59" i="1"/>
  <c r="E58" i="1"/>
  <c r="E57" i="1"/>
  <c r="E56" i="1"/>
  <c r="E54" i="1"/>
  <c r="E53" i="1"/>
  <c r="E52" i="1"/>
  <c r="E49" i="1"/>
  <c r="E46" i="1"/>
  <c r="E45" i="1"/>
  <c r="E44" i="1"/>
  <c r="E43" i="1"/>
  <c r="E42" i="1"/>
  <c r="E41" i="1"/>
  <c r="E40" i="1"/>
  <c r="E39" i="1"/>
  <c r="E38" i="1"/>
  <c r="E37" i="1"/>
  <c r="E36" i="1"/>
  <c r="E35" i="1"/>
  <c r="E34" i="1"/>
  <c r="E33" i="1"/>
  <c r="E32" i="1"/>
  <c r="E30" i="1"/>
  <c r="E29" i="1"/>
  <c r="E28" i="1"/>
  <c r="E27" i="1"/>
  <c r="E25" i="1"/>
  <c r="E24" i="1"/>
  <c r="E23" i="1"/>
  <c r="E22" i="1"/>
  <c r="E21" i="1"/>
  <c r="E72" i="1" l="1"/>
  <c r="E71" i="1" s="1"/>
  <c r="P71" i="1" s="1"/>
  <c r="E20" i="1"/>
  <c r="J20" i="1"/>
  <c r="J76" i="1" s="1"/>
  <c r="J83" i="1" s="1"/>
  <c r="J87" i="1" s="1"/>
  <c r="E51" i="1"/>
  <c r="P51" i="1" s="1"/>
  <c r="L19" i="1"/>
  <c r="H19" i="1"/>
  <c r="O83" i="1"/>
  <c r="O87" i="1" s="1"/>
  <c r="O19" i="1"/>
  <c r="K19" i="1"/>
  <c r="G19" i="1"/>
  <c r="F19" i="1"/>
  <c r="I19" i="1"/>
  <c r="P75" i="1"/>
  <c r="P73" i="1"/>
  <c r="P70" i="1"/>
  <c r="P69" i="1"/>
  <c r="P68" i="1"/>
  <c r="P67" i="1"/>
  <c r="P60" i="1"/>
  <c r="P59" i="1"/>
  <c r="P58" i="1"/>
  <c r="P57" i="1"/>
  <c r="P56" i="1"/>
  <c r="P54" i="1"/>
  <c r="P53" i="1"/>
  <c r="P52" i="1"/>
  <c r="P49" i="1"/>
  <c r="P46" i="1"/>
  <c r="P45" i="1"/>
  <c r="P44" i="1"/>
  <c r="P43" i="1"/>
  <c r="P42" i="1"/>
  <c r="P41" i="1"/>
  <c r="P40" i="1"/>
  <c r="P39" i="1"/>
  <c r="P38" i="1"/>
  <c r="P37" i="1"/>
  <c r="P36" i="1"/>
  <c r="P35" i="1"/>
  <c r="P34" i="1"/>
  <c r="P33" i="1"/>
  <c r="P32" i="1"/>
  <c r="P30" i="1"/>
  <c r="P29" i="1"/>
  <c r="P28" i="1"/>
  <c r="P27" i="1"/>
  <c r="P25" i="1"/>
  <c r="P24" i="1"/>
  <c r="P23" i="1"/>
  <c r="P22" i="1"/>
  <c r="P21" i="1"/>
  <c r="E76" i="1" l="1"/>
  <c r="P76" i="1" s="1"/>
  <c r="P83" i="1" s="1"/>
  <c r="P87" i="1" s="1"/>
  <c r="P72" i="1"/>
  <c r="E50" i="1"/>
  <c r="P50" i="1" s="1"/>
  <c r="J19" i="1"/>
  <c r="E19" i="1"/>
  <c r="P20" i="1"/>
  <c r="P19" i="1" l="1"/>
  <c r="E83" i="1"/>
  <c r="E87" i="1" s="1"/>
</calcChain>
</file>

<file path=xl/sharedStrings.xml><?xml version="1.0" encoding="utf-8"?>
<sst xmlns="http://schemas.openxmlformats.org/spreadsheetml/2006/main" count="253" uniqueCount="209">
  <si>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</si>
  <si>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</si>
  <si>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</si>
  <si>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</si>
  <si>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</si>
  <si>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</si>
  <si>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</si>
  <si>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</si>
  <si>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</si>
  <si>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</si>
  <si>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</si>
  <si>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</si>
  <si>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</si>
  <si>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</si>
  <si>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</si>
  <si>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</si>
  <si>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</si>
  <si>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</si>
  <si>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</si>
  <si>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</si>
  <si>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</si>
  <si>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</si>
  <si>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</si>
  <si>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</si>
  <si>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</si>
  <si>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</si>
  <si>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</si>
  <si>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</si>
  <si>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</si>
  <si>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</si>
  <si>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</si>
  <si>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</si>
  <si>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</si>
  <si>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</si>
  <si>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</si>
  <si>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</si>
  <si>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</si>
  <si>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</si>
  <si>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</si>
  <si>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</si>
  <si>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</si>
  <si>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</si>
  <si>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</si>
  <si>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</si>
  <si>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</si>
  <si>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</si>
  <si>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</si>
  <si>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</si>
  <si>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</si>
  <si>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</si>
  <si>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</si>
  <si>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</si>
  <si>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</si>
  <si>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</si>
  <si>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</si>
  <si>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</si>
  <si>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</si>
  <si>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</si>
  <si>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</si>
  <si>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</si>
  <si>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</si>
  <si>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</si>
  <si>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</si>
  <si>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</si>
  <si>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</si>
  <si>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</si>
  <si>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</si>
  <si>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</si>
  <si>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</si>
  <si>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</si>
  <si>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</si>
  <si>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</si>
  <si>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</si>
  <si>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</si>
  <si>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</si>
  <si>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</si>
  <si>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</si>
  <si>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</si>
  <si>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</si>
  <si>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</si>
  <si>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</si>
  <si>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</si>
  <si>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</si>
  <si>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</si>
  <si>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</si>
  <si>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</si>
  <si>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</si>
  <si>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</si>
  <si>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</si>
  <si>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</si>
  <si>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0117650</t>
  </si>
  <si>
    <t>7650</t>
  </si>
  <si>
    <t>0490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</si>
  <si>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</si>
  <si>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</si>
  <si>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</si>
  <si>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</si>
  <si>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</si>
  <si>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</si>
  <si>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</si>
  <si>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0117700</t>
  </si>
  <si>
    <t>7700</t>
  </si>
  <si>
    <t>Реалізація програм допомоги і грантів Європейського Союзу, урядів іноземних держав, міжнародних організацій, донорських установ</t>
  </si>
  <si>
    <t>0118110</t>
  </si>
  <si>
    <t>8110</t>
  </si>
  <si>
    <t>0320</t>
  </si>
  <si>
    <t>Заходи із запобігання та ліквідації надзвичайних ситуацій та наслідків стихійного лиха</t>
  </si>
  <si>
    <t>0118220</t>
  </si>
  <si>
    <t>8220</t>
  </si>
  <si>
    <t>0380</t>
  </si>
  <si>
    <t>Заходи та роботи з мобілізаційної підготовки місцевого значення</t>
  </si>
  <si>
    <t>0118340</t>
  </si>
  <si>
    <t>8340</t>
  </si>
  <si>
    <t>0540</t>
  </si>
  <si>
    <t>Природоохоронні заходи за рахунок цільових фондів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</si>
  <si>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</si>
  <si>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</si>
  <si>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</si>
  <si>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</si>
  <si>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</si>
  <si>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</si>
  <si>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</si>
  <si>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</si>
  <si>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</si>
  <si>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</si>
  <si>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</si>
  <si>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</si>
  <si>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</si>
  <si>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</si>
  <si>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</si>
  <si>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</si>
  <si>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</si>
  <si>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</si>
  <si>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</si>
  <si>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</si>
  <si>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</si>
  <si>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</si>
  <si>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</si>
  <si>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</si>
  <si>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</si>
  <si>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</si>
  <si>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</si>
  <si>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</si>
  <si>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</si>
  <si>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</si>
  <si>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</si>
  <si>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</si>
  <si>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</si>
  <si>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</si>
  <si>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</si>
  <si>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</si>
  <si>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</si>
  <si>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</si>
  <si>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</si>
  <si>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</si>
  <si>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</si>
  <si>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</si>
  <si>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</si>
  <si>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Розвиток здібностей у дітей та молоді з фізичної культури та спорту комунальними дитячо- юнацькими спортивними школами</t>
  </si>
  <si>
    <t>3700000</t>
  </si>
  <si>
    <t>3710000</t>
  </si>
  <si>
    <t>3710160</t>
  </si>
  <si>
    <t>3719770</t>
  </si>
  <si>
    <t>9770</t>
  </si>
  <si>
    <t>Інші субвенції з місцевого бюджету</t>
  </si>
  <si>
    <t>УСЬОГО</t>
  </si>
  <si>
    <t>X</t>
  </si>
  <si>
    <t>видатків бюджету Рахівської міської територіальної громади на 2026 рік</t>
  </si>
  <si>
    <t>до рішення міської ради</t>
  </si>
  <si>
    <t>Секретар ради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</si>
  <si>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</si>
  <si>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</si>
  <si>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</si>
  <si>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 культури, 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</si>
  <si>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</si>
  <si>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</si>
  <si>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Євген МОЛНАР</t>
  </si>
  <si>
    <t>0611031</t>
  </si>
  <si>
    <t>1031</t>
  </si>
  <si>
    <t>Надання загальної середньої освіти закладами загальної середньої освіти за рахунок освітньої субвенції</t>
  </si>
  <si>
    <t>Забезпечення діяльності інклюзивно-ресурсних центрів за рахунок освітньої субвенції</t>
  </si>
  <si>
    <t>О611152</t>
  </si>
  <si>
    <t>О990</t>
  </si>
  <si>
    <t>О611702</t>
  </si>
  <si>
    <t>Забезпечення харчуванням учнів закладів загальної середньої освіти за рахунок субвенції з державного бюджету місцевим бюджетам</t>
  </si>
  <si>
    <t>О611600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</si>
  <si>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</si>
  <si>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О611200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</si>
  <si>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</si>
  <si>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 xml:space="preserve"> 3.1 03-03-2026</t>
  </si>
  <si>
    <t>На 2026 рік</t>
  </si>
  <si>
    <t>Заходи та роботи з територіальної оборони</t>
  </si>
  <si>
    <t>0118240</t>
  </si>
  <si>
    <t>0118831</t>
  </si>
  <si>
    <t>Надання довгострокових кредитів індивідуальним забудовникам житла на селі</t>
  </si>
  <si>
    <t>Субвенція з місцевого бюджету державному бюджету на виконання програм соціально-економічного розвитку регіонів</t>
  </si>
  <si>
    <t>`0112170</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</si>
  <si>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</si>
  <si>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Друк</t>
  </si>
  <si>
    <t>Додаток 3</t>
  </si>
  <si>
    <t>0113112</t>
  </si>
  <si>
    <t>Заходи державної політики з питань дітей та їх соціального захисту</t>
  </si>
  <si>
    <t>O611184</t>
  </si>
  <si>
    <t>O990</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</si>
  <si>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</si>
  <si>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O611183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</si>
  <si>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</si>
  <si>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84-ї сесії 8-го скликання</t>
  </si>
  <si>
    <t>від 21.05.2026р. №1317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</si>
</sst>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0_ ;\-#,##0.00\ "/>
  </numFmts>
  <fonts count="9"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Calibri"/>
      <family val="2"/>
      <charset val="204"/>
      <scheme val="minor"/>
    </font>
    <font>
      <sz val="10"/>
      <color rgb="FFFF0000"/>
      <name val="Calibri"/>
      <family val="2"/>
      <charset val="204"/>
      <scheme val="minor"/>
    </font>
    <font>
      <sz val="14"/>
      <color theme="1"/>
      <name val="Times New Roman"/>
      <family val="1"/>
      <charset val="204"/>
    </font>
    <font>
      <b/>
      <sz val="14"/>
      <color theme="1"/>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8">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164" fontId="1" fillId="3" borderId="1" xfId="0" applyNumberFormat="1" applyFont="1" applyFill="1" applyBorder="1" applyAlignment="1">
      <alignment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vertical="center" wrapText="1"/>
    </xf>
    <xf numFmtId="165" fontId="6" fillId="0" borderId="0" xfId="0" applyNumberFormat="1" applyFont="1"/>
    <xf numFmtId="4" fontId="1" fillId="0" borderId="0" xfId="0" applyNumberFormat="1" applyFont="1"/>
    <xf numFmtId="0" fontId="1" fillId="0" borderId="0" xfId="0" applyFont="1"/>
    <xf numFmtId="4" fontId="6" fillId="0" borderId="0" xfId="0" applyNumberFormat="1" applyFont="1"/>
    <xf numFmtId="0" fontId="0" fillId="0" borderId="1" xfId="0" quotePrefix="1" applyBorder="1" applyAlignment="1">
      <alignment horizontal="center" vertical="center" wrapText="1"/>
    </xf>
    <xf numFmtId="3" fontId="0" fillId="0" borderId="0" xfId="0" applyNumberFormat="1"/>
    <xf numFmtId="3" fontId="0" fillId="0" borderId="2" xfId="0" applyNumberFormat="1" applyFill="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 fillId="0" borderId="0" xfId="0" applyFont="1" applyAlignment="1">
      <alignment horizont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7" fillId="0" borderId="0" xfId="0" applyFont="1"/>
    <xf numFmtId="0" fontId="8" fillId="0" borderId="0" xfId="0" applyFont="1" applyAlignment="1">
      <alignment horizontal="left"/>
    </xf>
    <xf numFmtId="0" fontId="7"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6:R90"/>
  <sheetViews>
    <sheetView tabSelected="1" zoomScale="55" zoomScaleNormal="55" workbookViewId="0">
      <selection activeCell="R5" sqref="R5"/>
    </sheetView>
  </sheetViews>
  <sheetFormatPr defaultRowHeight="13.8" x14ac:dyDescent="0.3"/>
  <cols>
    <col min="1" max="3" width="12" customWidth="1"/>
    <col min="4" max="4" width="40.6640625" customWidth="1"/>
    <col min="5" max="16" width="15.6640625" customWidth="1"/>
  </cols>
  <sheetData>
    <row r="6" spans="1:16" x14ac:dyDescent="0.3">
      <c r="P6" s="2" t="s">
        <v>199</v>
      </c>
    </row>
    <row r="7" spans="1:16" x14ac:dyDescent="0.3">
      <c r="O7" s="31" t="s">
        <v>168</v>
      </c>
      <c r="P7" s="31"/>
    </row>
    <row r="8" spans="1:16" x14ac:dyDescent="0.3">
      <c r="O8" s="31" t="s">
        <v>207</v>
      </c>
      <c r="P8" s="31"/>
    </row>
    <row r="9" spans="1:16" x14ac:dyDescent="0.3">
      <c r="O9" s="31" t="s">
        <v>208</v>
      </c>
      <c r="P9" s="31"/>
    </row>
    <row r="10" spans="1:16" x14ac:dyDescent="0.3">
      <c r="A10" s="32" t="s">
        <v>0</v>
      </c>
      <c r="B10" s="33"/>
      <c r="C10" s="33"/>
      <c r="D10" s="33"/>
      <c r="E10" s="33"/>
      <c r="F10" s="33"/>
      <c r="G10" s="33"/>
      <c r="H10" s="33"/>
      <c r="I10" s="33"/>
      <c r="J10" s="33"/>
      <c r="K10" s="33"/>
      <c r="L10" s="33"/>
      <c r="M10" s="33"/>
      <c r="N10" s="33"/>
      <c r="O10" s="33"/>
      <c r="P10" s="33"/>
    </row>
    <row r="11" spans="1:16" x14ac:dyDescent="0.3">
      <c r="A11" s="32" t="s">
        <v>167</v>
      </c>
      <c r="B11" s="33"/>
      <c r="C11" s="33"/>
      <c r="D11" s="33"/>
      <c r="E11" s="33"/>
      <c r="F11" s="33"/>
      <c r="G11" s="33"/>
      <c r="H11" s="33"/>
      <c r="I11" s="33"/>
      <c r="J11" s="33"/>
      <c r="K11" s="33"/>
      <c r="L11" s="33"/>
      <c r="M11" s="33"/>
      <c r="N11" s="33"/>
      <c r="O11" s="33"/>
      <c r="P11" s="33"/>
    </row>
    <row r="12" spans="1:16" x14ac:dyDescent="0.3">
      <c r="A12" s="1" t="s">
        <v>1</v>
      </c>
    </row>
    <row r="13" spans="1:16" x14ac:dyDescent="0.3">
      <c r="A13" t="s">
        <v>2</v>
      </c>
      <c r="P13" s="2" t="s">
        <v>3</v>
      </c>
    </row>
    <row r="14" spans="1:16" x14ac:dyDescent="0.3">
      <c r="A14" s="34" t="s">
        <v>4</v>
      </c>
      <c r="B14" s="34" t="s">
        <v>5</v>
      </c>
      <c r="C14" s="34" t="s">
        <v>6</v>
      </c>
      <c r="D14" s="29" t="s">
        <v>7</v>
      </c>
      <c r="E14" s="29" t="s">
        <v>8</v>
      </c>
      <c r="F14" s="29"/>
      <c r="G14" s="29"/>
      <c r="H14" s="29"/>
      <c r="I14" s="29"/>
      <c r="J14" s="29" t="s">
        <v>15</v>
      </c>
      <c r="K14" s="29"/>
      <c r="L14" s="29"/>
      <c r="M14" s="29"/>
      <c r="N14" s="29"/>
      <c r="O14" s="29"/>
      <c r="P14" s="30" t="s">
        <v>17</v>
      </c>
    </row>
    <row r="15" spans="1:16" x14ac:dyDescent="0.3">
      <c r="A15" s="29"/>
      <c r="B15" s="29"/>
      <c r="C15" s="29"/>
      <c r="D15" s="29"/>
      <c r="E15" s="30" t="s">
        <v>9</v>
      </c>
      <c r="F15" s="29" t="s">
        <v>10</v>
      </c>
      <c r="G15" s="29" t="s">
        <v>11</v>
      </c>
      <c r="H15" s="29"/>
      <c r="I15" s="29" t="s">
        <v>14</v>
      </c>
      <c r="J15" s="30" t="s">
        <v>9</v>
      </c>
      <c r="K15" s="29" t="s">
        <v>16</v>
      </c>
      <c r="L15" s="29" t="s">
        <v>10</v>
      </c>
      <c r="M15" s="29" t="s">
        <v>11</v>
      </c>
      <c r="N15" s="29"/>
      <c r="O15" s="29" t="s">
        <v>14</v>
      </c>
      <c r="P15" s="29"/>
    </row>
    <row r="16" spans="1:16" x14ac:dyDescent="0.3">
      <c r="A16" s="29"/>
      <c r="B16" s="29"/>
      <c r="C16" s="29"/>
      <c r="D16" s="29"/>
      <c r="E16" s="29"/>
      <c r="F16" s="29"/>
      <c r="G16" s="29" t="s">
        <v>12</v>
      </c>
      <c r="H16" s="29" t="s">
        <v>13</v>
      </c>
      <c r="I16" s="29"/>
      <c r="J16" s="29"/>
      <c r="K16" s="29"/>
      <c r="L16" s="29"/>
      <c r="M16" s="29" t="s">
        <v>12</v>
      </c>
      <c r="N16" s="29" t="s">
        <v>13</v>
      </c>
      <c r="O16" s="29"/>
      <c r="P16" s="29"/>
    </row>
    <row r="17" spans="1:18" ht="44.25" customHeight="1" x14ac:dyDescent="0.3">
      <c r="A17" s="29"/>
      <c r="B17" s="29"/>
      <c r="C17" s="29"/>
      <c r="D17" s="29"/>
      <c r="E17" s="29"/>
      <c r="F17" s="29"/>
      <c r="G17" s="29"/>
      <c r="H17" s="29"/>
      <c r="I17" s="29"/>
      <c r="J17" s="29"/>
      <c r="K17" s="29"/>
      <c r="L17" s="29"/>
      <c r="M17" s="29"/>
      <c r="N17" s="29"/>
      <c r="O17" s="29"/>
      <c r="P17" s="29"/>
      <c r="R17" t="s">
        <v>198</v>
      </c>
    </row>
    <row r="18" spans="1:18" x14ac:dyDescent="0.3">
      <c r="A18" s="3">
        <v>1</v>
      </c>
      <c r="B18" s="3">
        <v>2</v>
      </c>
      <c r="C18" s="3">
        <v>3</v>
      </c>
      <c r="D18" s="3">
        <v>4</v>
      </c>
      <c r="E18" s="4">
        <v>5</v>
      </c>
      <c r="F18" s="3">
        <v>6</v>
      </c>
      <c r="G18" s="3">
        <v>7</v>
      </c>
      <c r="H18" s="3">
        <v>8</v>
      </c>
      <c r="I18" s="3">
        <v>9</v>
      </c>
      <c r="J18" s="4">
        <v>10</v>
      </c>
      <c r="K18" s="3">
        <v>11</v>
      </c>
      <c r="L18" s="3">
        <v>12</v>
      </c>
      <c r="M18" s="3">
        <v>13</v>
      </c>
      <c r="N18" s="3">
        <v>14</v>
      </c>
      <c r="O18" s="3">
        <v>15</v>
      </c>
      <c r="P18" s="4">
        <v>16</v>
      </c>
    </row>
    <row r="19" spans="1:18" x14ac:dyDescent="0.3">
      <c r="A19" s="5" t="s">
        <v>18</v>
      </c>
      <c r="B19" s="5" t="s">
        <v>19</v>
      </c>
      <c r="C19" s="5" t="s">
        <v>19</v>
      </c>
      <c r="D19" s="6" t="s">
        <v>170</v>
      </c>
      <c r="E19" s="7">
        <f t="shared" ref="E19:O19" si="0">E20</f>
        <v>78198110</v>
      </c>
      <c r="F19" s="8">
        <f t="shared" si="0"/>
        <v>66123410</v>
      </c>
      <c r="G19" s="8">
        <f t="shared" si="0"/>
        <v>28824868</v>
      </c>
      <c r="H19" s="8">
        <f t="shared" si="0"/>
        <v>3122784</v>
      </c>
      <c r="I19" s="8">
        <f t="shared" si="0"/>
        <v>12074700</v>
      </c>
      <c r="J19" s="7">
        <f t="shared" si="0"/>
        <v>1204200</v>
      </c>
      <c r="K19" s="8">
        <f t="shared" si="0"/>
        <v>1124700</v>
      </c>
      <c r="L19" s="8">
        <f t="shared" si="0"/>
        <v>79500</v>
      </c>
      <c r="M19" s="8">
        <f t="shared" si="0"/>
        <v>0</v>
      </c>
      <c r="N19" s="8">
        <f t="shared" si="0"/>
        <v>0</v>
      </c>
      <c r="O19" s="8">
        <f t="shared" si="0"/>
        <v>1124700</v>
      </c>
      <c r="P19" s="7">
        <f t="shared" ref="P19:P76" si="1">E19 + J19</f>
        <v>79402310</v>
      </c>
      <c r="R19" s="24">
        <v>1</v>
      </c>
    </row>
    <row r="20" spans="1:18" ht="27.6" x14ac:dyDescent="0.3">
      <c r="A20" s="5" t="s">
        <v>20</v>
      </c>
      <c r="B20" s="5" t="s">
        <v>19</v>
      </c>
      <c r="C20" s="5" t="s">
        <v>19</v>
      </c>
      <c r="D20" s="6" t="s">
        <v>171</v>
      </c>
      <c r="E20" s="7">
        <f>SUM(E21:E49)</f>
        <v>78198110</v>
      </c>
      <c r="F20" s="8">
        <f t="shared" ref="F20:O20" si="2">SUM(F21:F49)</f>
        <v>66123410</v>
      </c>
      <c r="G20" s="8">
        <f t="shared" si="2"/>
        <v>28824868</v>
      </c>
      <c r="H20" s="8">
        <f t="shared" si="2"/>
        <v>3122784</v>
      </c>
      <c r="I20" s="8">
        <f t="shared" si="2"/>
        <v>12074700</v>
      </c>
      <c r="J20" s="7">
        <f t="shared" si="2"/>
        <v>1204200</v>
      </c>
      <c r="K20" s="8">
        <f t="shared" si="2"/>
        <v>1124700</v>
      </c>
      <c r="L20" s="8">
        <f t="shared" si="2"/>
        <v>79500</v>
      </c>
      <c r="M20" s="8">
        <f t="shared" si="2"/>
        <v>0</v>
      </c>
      <c r="N20" s="8">
        <f t="shared" si="2"/>
        <v>0</v>
      </c>
      <c r="O20" s="8">
        <f t="shared" si="2"/>
        <v>1124700</v>
      </c>
      <c r="P20" s="7">
        <f t="shared" si="1"/>
        <v>79402310</v>
      </c>
      <c r="R20" s="24">
        <v>1</v>
      </c>
    </row>
    <row r="21" spans="1:18" ht="69" x14ac:dyDescent="0.3">
      <c r="A21" s="3" t="s">
        <v>21</v>
      </c>
      <c r="B21" s="3" t="s">
        <v>22</v>
      </c>
      <c r="C21" s="3" t="s">
        <v>23</v>
      </c>
      <c r="D21" s="9" t="s">
        <v>24</v>
      </c>
      <c r="E21" s="10">
        <f t="shared" ref="E21:E49" si="3">F21+I21</f>
        <v>31036800</v>
      </c>
      <c r="F21" s="11">
        <f>30206000+325000+200800+305000</f>
        <v>31036800</v>
      </c>
      <c r="G21" s="11">
        <v>22700000</v>
      </c>
      <c r="H21" s="11">
        <f>1252000+100000</f>
        <v>1352000</v>
      </c>
      <c r="I21" s="11">
        <v>0</v>
      </c>
      <c r="J21" s="10">
        <f>L21+O21</f>
        <v>24500</v>
      </c>
      <c r="K21" s="11">
        <v>0</v>
      </c>
      <c r="L21" s="11">
        <v>24500</v>
      </c>
      <c r="M21" s="11">
        <v>0</v>
      </c>
      <c r="N21" s="11">
        <v>0</v>
      </c>
      <c r="O21" s="11">
        <v>0</v>
      </c>
      <c r="P21" s="10">
        <f t="shared" si="1"/>
        <v>31061300</v>
      </c>
      <c r="R21" s="24">
        <v>1</v>
      </c>
    </row>
    <row r="22" spans="1:18" x14ac:dyDescent="0.3">
      <c r="A22" s="3" t="s">
        <v>25</v>
      </c>
      <c r="B22" s="3" t="s">
        <v>26</v>
      </c>
      <c r="C22" s="3" t="s">
        <v>27</v>
      </c>
      <c r="D22" s="9" t="s">
        <v>28</v>
      </c>
      <c r="E22" s="10">
        <f t="shared" si="3"/>
        <v>2116000</v>
      </c>
      <c r="F22" s="11">
        <f>2316000-49000-200000</f>
        <v>2067000</v>
      </c>
      <c r="G22" s="11">
        <v>695260</v>
      </c>
      <c r="H22" s="11">
        <v>26069</v>
      </c>
      <c r="I22" s="11">
        <v>49000</v>
      </c>
      <c r="J22" s="10">
        <f t="shared" ref="J22:J46" si="4">L22+O22</f>
        <v>0</v>
      </c>
      <c r="K22" s="11">
        <v>0</v>
      </c>
      <c r="L22" s="11">
        <v>0</v>
      </c>
      <c r="M22" s="11">
        <v>0</v>
      </c>
      <c r="N22" s="11">
        <v>0</v>
      </c>
      <c r="O22" s="11">
        <v>0</v>
      </c>
      <c r="P22" s="10">
        <f t="shared" si="1"/>
        <v>2116000</v>
      </c>
      <c r="R22" s="24">
        <v>1</v>
      </c>
    </row>
    <row r="23" spans="1:18" ht="27.6" x14ac:dyDescent="0.3">
      <c r="A23" s="3" t="s">
        <v>29</v>
      </c>
      <c r="B23" s="3" t="s">
        <v>30</v>
      </c>
      <c r="C23" s="3" t="s">
        <v>31</v>
      </c>
      <c r="D23" s="9" t="s">
        <v>32</v>
      </c>
      <c r="E23" s="10">
        <f t="shared" si="3"/>
        <v>13544593</v>
      </c>
      <c r="F23" s="11">
        <f>11844593+150000+1000000-200000+250000+67000</f>
        <v>13111593</v>
      </c>
      <c r="G23" s="11">
        <v>0</v>
      </c>
      <c r="H23" s="11">
        <v>0</v>
      </c>
      <c r="I23" s="11">
        <f>100000+200000+133000</f>
        <v>433000</v>
      </c>
      <c r="J23" s="10">
        <f t="shared" si="4"/>
        <v>0</v>
      </c>
      <c r="K23" s="11">
        <v>0</v>
      </c>
      <c r="L23" s="11">
        <v>0</v>
      </c>
      <c r="M23" s="11">
        <v>0</v>
      </c>
      <c r="N23" s="11">
        <v>0</v>
      </c>
      <c r="O23" s="11">
        <v>0</v>
      </c>
      <c r="P23" s="10">
        <f t="shared" si="1"/>
        <v>13544593</v>
      </c>
      <c r="R23" s="25">
        <v>1</v>
      </c>
    </row>
    <row r="24" spans="1:18" ht="41.4" hidden="1" x14ac:dyDescent="0.3">
      <c r="A24" s="3" t="s">
        <v>33</v>
      </c>
      <c r="B24" s="3" t="s">
        <v>34</v>
      </c>
      <c r="C24" s="3" t="s">
        <v>35</v>
      </c>
      <c r="D24" s="9" t="s">
        <v>36</v>
      </c>
      <c r="E24" s="10">
        <f t="shared" si="3"/>
        <v>1757300</v>
      </c>
      <c r="F24" s="11">
        <v>1757300</v>
      </c>
      <c r="G24" s="11">
        <v>0</v>
      </c>
      <c r="H24" s="11">
        <v>0</v>
      </c>
      <c r="I24" s="11">
        <v>0</v>
      </c>
      <c r="J24" s="10">
        <f t="shared" si="4"/>
        <v>0</v>
      </c>
      <c r="K24" s="11">
        <v>0</v>
      </c>
      <c r="L24" s="11">
        <v>0</v>
      </c>
      <c r="M24" s="11">
        <v>0</v>
      </c>
      <c r="N24" s="11">
        <v>0</v>
      </c>
      <c r="O24" s="11">
        <v>0</v>
      </c>
      <c r="P24" s="10">
        <f t="shared" si="1"/>
        <v>1757300</v>
      </c>
      <c r="R24" s="24"/>
    </row>
    <row r="25" spans="1:18" ht="27.6" hidden="1" x14ac:dyDescent="0.3">
      <c r="A25" s="3" t="s">
        <v>37</v>
      </c>
      <c r="B25" s="3" t="s">
        <v>38</v>
      </c>
      <c r="C25" s="3" t="s">
        <v>39</v>
      </c>
      <c r="D25" s="9" t="s">
        <v>40</v>
      </c>
      <c r="E25" s="10">
        <f t="shared" si="3"/>
        <v>550000</v>
      </c>
      <c r="F25" s="11">
        <v>550000</v>
      </c>
      <c r="G25" s="11">
        <v>0</v>
      </c>
      <c r="H25" s="11">
        <v>0</v>
      </c>
      <c r="I25" s="11">
        <v>0</v>
      </c>
      <c r="J25" s="10">
        <f t="shared" si="4"/>
        <v>0</v>
      </c>
      <c r="K25" s="11">
        <v>0</v>
      </c>
      <c r="L25" s="11">
        <v>0</v>
      </c>
      <c r="M25" s="11">
        <v>0</v>
      </c>
      <c r="N25" s="11">
        <v>0</v>
      </c>
      <c r="O25" s="11">
        <v>0</v>
      </c>
      <c r="P25" s="10">
        <f t="shared" si="1"/>
        <v>550000</v>
      </c>
      <c r="R25" s="24"/>
    </row>
    <row r="26" spans="1:18" ht="55.2" hidden="1" x14ac:dyDescent="0.3">
      <c r="A26" s="16" t="s">
        <v>196</v>
      </c>
      <c r="B26" s="16">
        <v>2170</v>
      </c>
      <c r="C26" s="16" t="s">
        <v>39</v>
      </c>
      <c r="D26" s="9" t="s">
        <v>197</v>
      </c>
      <c r="E26" s="10">
        <f t="shared" ref="E26" si="5">F26+I26</f>
        <v>0</v>
      </c>
      <c r="F26" s="11">
        <v>0</v>
      </c>
      <c r="G26" s="11">
        <v>0</v>
      </c>
      <c r="H26" s="11">
        <v>0</v>
      </c>
      <c r="I26" s="11">
        <v>0</v>
      </c>
      <c r="J26" s="10">
        <f t="shared" ref="J26" si="6">L26+O26</f>
        <v>1094700</v>
      </c>
      <c r="K26" s="11">
        <v>1094700</v>
      </c>
      <c r="L26" s="11">
        <v>0</v>
      </c>
      <c r="M26" s="11">
        <v>0</v>
      </c>
      <c r="N26" s="11">
        <v>0</v>
      </c>
      <c r="O26" s="11">
        <v>1094700</v>
      </c>
      <c r="P26" s="10">
        <f t="shared" ref="P26" si="7">E26 + J26</f>
        <v>1094700</v>
      </c>
      <c r="R26" s="24"/>
    </row>
    <row r="27" spans="1:18" ht="27.6" hidden="1" x14ac:dyDescent="0.3">
      <c r="A27" s="3" t="s">
        <v>41</v>
      </c>
      <c r="B27" s="3" t="s">
        <v>42</v>
      </c>
      <c r="C27" s="3" t="s">
        <v>43</v>
      </c>
      <c r="D27" s="9" t="s">
        <v>44</v>
      </c>
      <c r="E27" s="10">
        <f t="shared" si="3"/>
        <v>5000</v>
      </c>
      <c r="F27" s="11">
        <v>5000</v>
      </c>
      <c r="G27" s="11">
        <v>0</v>
      </c>
      <c r="H27" s="11">
        <v>0</v>
      </c>
      <c r="I27" s="11">
        <v>0</v>
      </c>
      <c r="J27" s="10">
        <f t="shared" si="4"/>
        <v>0</v>
      </c>
      <c r="K27" s="11">
        <v>0</v>
      </c>
      <c r="L27" s="11">
        <v>0</v>
      </c>
      <c r="M27" s="11">
        <v>0</v>
      </c>
      <c r="N27" s="11">
        <v>0</v>
      </c>
      <c r="O27" s="11">
        <v>0</v>
      </c>
      <c r="P27" s="10">
        <f t="shared" si="1"/>
        <v>5000</v>
      </c>
      <c r="R27" s="24"/>
    </row>
    <row r="28" spans="1:18" ht="41.4" hidden="1" x14ac:dyDescent="0.3">
      <c r="A28" s="3" t="s">
        <v>45</v>
      </c>
      <c r="B28" s="3" t="s">
        <v>46</v>
      </c>
      <c r="C28" s="3" t="s">
        <v>43</v>
      </c>
      <c r="D28" s="9" t="s">
        <v>47</v>
      </c>
      <c r="E28" s="10">
        <f t="shared" si="3"/>
        <v>80000</v>
      </c>
      <c r="F28" s="11">
        <v>80000</v>
      </c>
      <c r="G28" s="11">
        <v>0</v>
      </c>
      <c r="H28" s="11">
        <v>0</v>
      </c>
      <c r="I28" s="11">
        <v>0</v>
      </c>
      <c r="J28" s="10">
        <f t="shared" si="4"/>
        <v>0</v>
      </c>
      <c r="K28" s="11">
        <v>0</v>
      </c>
      <c r="L28" s="11">
        <v>0</v>
      </c>
      <c r="M28" s="11">
        <v>0</v>
      </c>
      <c r="N28" s="11">
        <v>0</v>
      </c>
      <c r="O28" s="11">
        <v>0</v>
      </c>
      <c r="P28" s="10">
        <f t="shared" si="1"/>
        <v>80000</v>
      </c>
      <c r="R28" s="24"/>
    </row>
    <row r="29" spans="1:18" ht="55.2" hidden="1" x14ac:dyDescent="0.3">
      <c r="A29" s="3" t="s">
        <v>48</v>
      </c>
      <c r="B29" s="3" t="s">
        <v>49</v>
      </c>
      <c r="C29" s="3" t="s">
        <v>50</v>
      </c>
      <c r="D29" s="9" t="s">
        <v>51</v>
      </c>
      <c r="E29" s="10">
        <f t="shared" si="3"/>
        <v>6872000</v>
      </c>
      <c r="F29" s="11">
        <f>5078000+1794000</f>
        <v>6872000</v>
      </c>
      <c r="G29" s="11">
        <f>2950000+1470500</f>
        <v>4420500</v>
      </c>
      <c r="H29" s="11">
        <v>180000</v>
      </c>
      <c r="I29" s="11">
        <v>0</v>
      </c>
      <c r="J29" s="10">
        <f t="shared" si="4"/>
        <v>0</v>
      </c>
      <c r="K29" s="11">
        <v>0</v>
      </c>
      <c r="L29" s="11">
        <v>0</v>
      </c>
      <c r="M29" s="11">
        <v>0</v>
      </c>
      <c r="N29" s="11">
        <v>0</v>
      </c>
      <c r="O29" s="11">
        <v>0</v>
      </c>
      <c r="P29" s="10">
        <f t="shared" si="1"/>
        <v>6872000</v>
      </c>
      <c r="R29" s="24"/>
    </row>
    <row r="30" spans="1:18" ht="27.6" x14ac:dyDescent="0.3">
      <c r="A30" s="3" t="s">
        <v>52</v>
      </c>
      <c r="B30" s="3" t="s">
        <v>53</v>
      </c>
      <c r="C30" s="3" t="s">
        <v>54</v>
      </c>
      <c r="D30" s="9" t="s">
        <v>55</v>
      </c>
      <c r="E30" s="10">
        <f t="shared" si="3"/>
        <v>1445000</v>
      </c>
      <c r="F30" s="11">
        <f>959000+386000+100000</f>
        <v>1445000</v>
      </c>
      <c r="G30" s="11">
        <f>673458+335650</f>
        <v>1009108</v>
      </c>
      <c r="H30" s="11">
        <f>109615+100000</f>
        <v>209615</v>
      </c>
      <c r="I30" s="11">
        <v>0</v>
      </c>
      <c r="J30" s="10">
        <f t="shared" si="4"/>
        <v>0</v>
      </c>
      <c r="K30" s="11">
        <v>0</v>
      </c>
      <c r="L30" s="11">
        <v>0</v>
      </c>
      <c r="M30" s="11">
        <v>0</v>
      </c>
      <c r="N30" s="11">
        <v>0</v>
      </c>
      <c r="O30" s="11">
        <v>0</v>
      </c>
      <c r="P30" s="10">
        <f t="shared" si="1"/>
        <v>1445000</v>
      </c>
      <c r="R30" s="24">
        <v>1</v>
      </c>
    </row>
    <row r="31" spans="1:18" ht="27.6" hidden="1" x14ac:dyDescent="0.3">
      <c r="A31" s="23" t="s">
        <v>200</v>
      </c>
      <c r="B31" s="26">
        <v>3112</v>
      </c>
      <c r="C31" s="26" t="s">
        <v>58</v>
      </c>
      <c r="D31" s="9" t="s">
        <v>201</v>
      </c>
      <c r="E31" s="10">
        <f t="shared" ref="E31" si="8">F31+I31</f>
        <v>40000</v>
      </c>
      <c r="F31" s="11">
        <v>40000</v>
      </c>
      <c r="G31" s="11">
        <v>0</v>
      </c>
      <c r="H31" s="11">
        <v>0</v>
      </c>
      <c r="I31" s="11">
        <v>0</v>
      </c>
      <c r="J31" s="10">
        <f t="shared" ref="J31" si="9">L31+O31</f>
        <v>0</v>
      </c>
      <c r="K31" s="11">
        <v>0</v>
      </c>
      <c r="L31" s="11">
        <v>0</v>
      </c>
      <c r="M31" s="11">
        <v>0</v>
      </c>
      <c r="N31" s="11">
        <v>0</v>
      </c>
      <c r="O31" s="11">
        <v>0</v>
      </c>
      <c r="P31" s="10">
        <f t="shared" ref="P31" si="10">E31 + J31</f>
        <v>40000</v>
      </c>
      <c r="R31" s="24"/>
    </row>
    <row r="32" spans="1:18" ht="55.2" hidden="1" x14ac:dyDescent="0.3">
      <c r="A32" s="3" t="s">
        <v>56</v>
      </c>
      <c r="B32" s="3" t="s">
        <v>57</v>
      </c>
      <c r="C32" s="3" t="s">
        <v>58</v>
      </c>
      <c r="D32" s="9" t="s">
        <v>59</v>
      </c>
      <c r="E32" s="10">
        <f t="shared" si="3"/>
        <v>36000</v>
      </c>
      <c r="F32" s="11">
        <f>76000-40000</f>
        <v>36000</v>
      </c>
      <c r="G32" s="11">
        <v>0</v>
      </c>
      <c r="H32" s="11">
        <v>0</v>
      </c>
      <c r="I32" s="11">
        <v>0</v>
      </c>
      <c r="J32" s="10">
        <f t="shared" si="4"/>
        <v>0</v>
      </c>
      <c r="K32" s="11">
        <v>0</v>
      </c>
      <c r="L32" s="11">
        <v>0</v>
      </c>
      <c r="M32" s="11">
        <v>0</v>
      </c>
      <c r="N32" s="11">
        <v>0</v>
      </c>
      <c r="O32" s="11">
        <v>0</v>
      </c>
      <c r="P32" s="10">
        <f t="shared" si="1"/>
        <v>36000</v>
      </c>
      <c r="R32" s="24"/>
    </row>
    <row r="33" spans="1:18" ht="82.8" hidden="1" x14ac:dyDescent="0.3">
      <c r="A33" s="3" t="s">
        <v>60</v>
      </c>
      <c r="B33" s="3" t="s">
        <v>61</v>
      </c>
      <c r="C33" s="3" t="s">
        <v>54</v>
      </c>
      <c r="D33" s="9" t="s">
        <v>62</v>
      </c>
      <c r="E33" s="10">
        <f t="shared" si="3"/>
        <v>400000</v>
      </c>
      <c r="F33" s="11">
        <v>400000</v>
      </c>
      <c r="G33" s="11">
        <v>0</v>
      </c>
      <c r="H33" s="11">
        <v>0</v>
      </c>
      <c r="I33" s="11">
        <v>0</v>
      </c>
      <c r="J33" s="10">
        <f t="shared" si="4"/>
        <v>0</v>
      </c>
      <c r="K33" s="11">
        <v>0</v>
      </c>
      <c r="L33" s="11">
        <v>0</v>
      </c>
      <c r="M33" s="11">
        <v>0</v>
      </c>
      <c r="N33" s="11">
        <v>0</v>
      </c>
      <c r="O33" s="11">
        <v>0</v>
      </c>
      <c r="P33" s="10">
        <f t="shared" si="1"/>
        <v>400000</v>
      </c>
      <c r="R33" s="24"/>
    </row>
    <row r="34" spans="1:18" ht="27.6" hidden="1" x14ac:dyDescent="0.3">
      <c r="A34" s="3" t="s">
        <v>63</v>
      </c>
      <c r="B34" s="3" t="s">
        <v>64</v>
      </c>
      <c r="C34" s="3" t="s">
        <v>65</v>
      </c>
      <c r="D34" s="9" t="s">
        <v>66</v>
      </c>
      <c r="E34" s="10">
        <f t="shared" si="3"/>
        <v>1500000</v>
      </c>
      <c r="F34" s="11">
        <v>1500000</v>
      </c>
      <c r="G34" s="11">
        <v>0</v>
      </c>
      <c r="H34" s="11">
        <v>0</v>
      </c>
      <c r="I34" s="11">
        <v>0</v>
      </c>
      <c r="J34" s="10">
        <f t="shared" si="4"/>
        <v>0</v>
      </c>
      <c r="K34" s="11">
        <v>0</v>
      </c>
      <c r="L34" s="11">
        <v>0</v>
      </c>
      <c r="M34" s="11">
        <v>0</v>
      </c>
      <c r="N34" s="11">
        <v>0</v>
      </c>
      <c r="O34" s="11">
        <v>0</v>
      </c>
      <c r="P34" s="10">
        <f t="shared" si="1"/>
        <v>1500000</v>
      </c>
      <c r="R34" s="24"/>
    </row>
    <row r="35" spans="1:18" ht="55.2" x14ac:dyDescent="0.3">
      <c r="A35" s="3" t="s">
        <v>67</v>
      </c>
      <c r="B35" s="3" t="s">
        <v>68</v>
      </c>
      <c r="C35" s="3" t="s">
        <v>69</v>
      </c>
      <c r="D35" s="9" t="s">
        <v>70</v>
      </c>
      <c r="E35" s="10">
        <f t="shared" si="3"/>
        <v>10050000</v>
      </c>
      <c r="F35" s="11">
        <v>0</v>
      </c>
      <c r="G35" s="11">
        <v>0</v>
      </c>
      <c r="H35" s="11">
        <v>0</v>
      </c>
      <c r="I35" s="11">
        <f>8400000+600000+550000+400000+100000</f>
        <v>10050000</v>
      </c>
      <c r="J35" s="10">
        <f t="shared" si="4"/>
        <v>0</v>
      </c>
      <c r="K35" s="11">
        <v>0</v>
      </c>
      <c r="L35" s="11">
        <v>0</v>
      </c>
      <c r="M35" s="11">
        <v>0</v>
      </c>
      <c r="N35" s="11">
        <v>0</v>
      </c>
      <c r="O35" s="11">
        <v>0</v>
      </c>
      <c r="P35" s="10">
        <f t="shared" si="1"/>
        <v>10050000</v>
      </c>
      <c r="R35" s="24">
        <v>1</v>
      </c>
    </row>
    <row r="36" spans="1:18" hidden="1" x14ac:dyDescent="0.3">
      <c r="A36" s="3" t="s">
        <v>71</v>
      </c>
      <c r="B36" s="3" t="s">
        <v>72</v>
      </c>
      <c r="C36" s="3" t="s">
        <v>69</v>
      </c>
      <c r="D36" s="9" t="s">
        <v>73</v>
      </c>
      <c r="E36" s="10">
        <f t="shared" si="3"/>
        <v>2628700</v>
      </c>
      <c r="F36" s="11">
        <f>1270000+264000</f>
        <v>1534000</v>
      </c>
      <c r="G36" s="11">
        <v>0</v>
      </c>
      <c r="H36" s="11">
        <f>986100+264000</f>
        <v>1250100</v>
      </c>
      <c r="I36" s="11">
        <f>1094700</f>
        <v>1094700</v>
      </c>
      <c r="J36" s="10">
        <f t="shared" si="4"/>
        <v>0</v>
      </c>
      <c r="K36" s="11">
        <f>1094700-1094700</f>
        <v>0</v>
      </c>
      <c r="L36" s="11">
        <v>0</v>
      </c>
      <c r="M36" s="11">
        <v>0</v>
      </c>
      <c r="N36" s="11">
        <v>0</v>
      </c>
      <c r="O36" s="11">
        <f>1094700-1094700</f>
        <v>0</v>
      </c>
      <c r="P36" s="10">
        <f t="shared" si="1"/>
        <v>2628700</v>
      </c>
      <c r="R36" s="24"/>
    </row>
    <row r="37" spans="1:18" ht="124.2" hidden="1" x14ac:dyDescent="0.3">
      <c r="A37" s="3" t="s">
        <v>74</v>
      </c>
      <c r="B37" s="3" t="s">
        <v>75</v>
      </c>
      <c r="C37" s="3" t="s">
        <v>76</v>
      </c>
      <c r="D37" s="9" t="s">
        <v>77</v>
      </c>
      <c r="E37" s="10">
        <f t="shared" si="3"/>
        <v>400000</v>
      </c>
      <c r="F37" s="11">
        <f>400000-400000</f>
        <v>0</v>
      </c>
      <c r="G37" s="11">
        <v>0</v>
      </c>
      <c r="H37" s="11">
        <v>0</v>
      </c>
      <c r="I37" s="11">
        <v>400000</v>
      </c>
      <c r="J37" s="10">
        <f t="shared" si="4"/>
        <v>0</v>
      </c>
      <c r="K37" s="11">
        <v>0</v>
      </c>
      <c r="L37" s="11">
        <v>0</v>
      </c>
      <c r="M37" s="11">
        <v>0</v>
      </c>
      <c r="N37" s="11">
        <v>0</v>
      </c>
      <c r="O37" s="11">
        <v>0</v>
      </c>
      <c r="P37" s="10">
        <f t="shared" si="1"/>
        <v>400000</v>
      </c>
      <c r="R37" s="25"/>
    </row>
    <row r="38" spans="1:18" hidden="1" x14ac:dyDescent="0.3">
      <c r="A38" s="3" t="s">
        <v>78</v>
      </c>
      <c r="B38" s="3" t="s">
        <v>79</v>
      </c>
      <c r="C38" s="3" t="s">
        <v>80</v>
      </c>
      <c r="D38" s="9" t="s">
        <v>81</v>
      </c>
      <c r="E38" s="10">
        <f t="shared" si="3"/>
        <v>600000</v>
      </c>
      <c r="F38" s="11">
        <v>600000</v>
      </c>
      <c r="G38" s="11">
        <v>0</v>
      </c>
      <c r="H38" s="11">
        <v>0</v>
      </c>
      <c r="I38" s="11">
        <v>0</v>
      </c>
      <c r="J38" s="10">
        <f t="shared" si="4"/>
        <v>0</v>
      </c>
      <c r="K38" s="11">
        <v>0</v>
      </c>
      <c r="L38" s="11">
        <v>0</v>
      </c>
      <c r="M38" s="11">
        <v>0</v>
      </c>
      <c r="N38" s="11">
        <v>0</v>
      </c>
      <c r="O38" s="11">
        <v>0</v>
      </c>
      <c r="P38" s="10">
        <f t="shared" si="1"/>
        <v>600000</v>
      </c>
      <c r="R38" s="24"/>
    </row>
    <row r="39" spans="1:18" ht="41.4" hidden="1" x14ac:dyDescent="0.3">
      <c r="A39" s="3" t="s">
        <v>82</v>
      </c>
      <c r="B39" s="3" t="s">
        <v>83</v>
      </c>
      <c r="C39" s="3" t="s">
        <v>84</v>
      </c>
      <c r="D39" s="9" t="s">
        <v>85</v>
      </c>
      <c r="E39" s="10">
        <f t="shared" si="3"/>
        <v>1000000</v>
      </c>
      <c r="F39" s="11">
        <v>1000000</v>
      </c>
      <c r="G39" s="11">
        <v>0</v>
      </c>
      <c r="H39" s="11">
        <v>0</v>
      </c>
      <c r="I39" s="11">
        <v>0</v>
      </c>
      <c r="J39" s="10">
        <f t="shared" si="4"/>
        <v>0</v>
      </c>
      <c r="K39" s="11">
        <v>0</v>
      </c>
      <c r="L39" s="11">
        <v>0</v>
      </c>
      <c r="M39" s="11">
        <v>0</v>
      </c>
      <c r="N39" s="11">
        <v>0</v>
      </c>
      <c r="O39" s="11">
        <v>0</v>
      </c>
      <c r="P39" s="10">
        <f t="shared" si="1"/>
        <v>1000000</v>
      </c>
      <c r="R39" s="24"/>
    </row>
    <row r="40" spans="1:18" ht="27.6" hidden="1" x14ac:dyDescent="0.3">
      <c r="A40" s="3" t="s">
        <v>86</v>
      </c>
      <c r="B40" s="3" t="s">
        <v>87</v>
      </c>
      <c r="C40" s="3" t="s">
        <v>88</v>
      </c>
      <c r="D40" s="9" t="s">
        <v>89</v>
      </c>
      <c r="E40" s="10">
        <f t="shared" si="3"/>
        <v>250000</v>
      </c>
      <c r="F40" s="11">
        <v>250000</v>
      </c>
      <c r="G40" s="11">
        <v>0</v>
      </c>
      <c r="H40" s="11">
        <v>0</v>
      </c>
      <c r="I40" s="11">
        <v>0</v>
      </c>
      <c r="J40" s="10">
        <f t="shared" si="4"/>
        <v>0</v>
      </c>
      <c r="K40" s="11">
        <v>0</v>
      </c>
      <c r="L40" s="11">
        <v>0</v>
      </c>
      <c r="M40" s="11">
        <v>0</v>
      </c>
      <c r="N40" s="11">
        <v>0</v>
      </c>
      <c r="O40" s="11">
        <v>0</v>
      </c>
      <c r="P40" s="10">
        <f t="shared" si="1"/>
        <v>250000</v>
      </c>
      <c r="R40" s="24"/>
    </row>
    <row r="41" spans="1:18" ht="27.6" hidden="1" x14ac:dyDescent="0.3">
      <c r="A41" s="3" t="s">
        <v>90</v>
      </c>
      <c r="B41" s="3" t="s">
        <v>91</v>
      </c>
      <c r="C41" s="3" t="s">
        <v>92</v>
      </c>
      <c r="D41" s="9" t="s">
        <v>93</v>
      </c>
      <c r="E41" s="10">
        <f t="shared" si="3"/>
        <v>0</v>
      </c>
      <c r="F41" s="11">
        <v>0</v>
      </c>
      <c r="G41" s="11">
        <v>0</v>
      </c>
      <c r="H41" s="11">
        <v>0</v>
      </c>
      <c r="I41" s="11">
        <v>0</v>
      </c>
      <c r="J41" s="10">
        <f t="shared" si="4"/>
        <v>30000</v>
      </c>
      <c r="K41" s="11">
        <v>30000</v>
      </c>
      <c r="L41" s="11">
        <v>0</v>
      </c>
      <c r="M41" s="11">
        <v>0</v>
      </c>
      <c r="N41" s="11">
        <v>0</v>
      </c>
      <c r="O41" s="11">
        <v>30000</v>
      </c>
      <c r="P41" s="10">
        <f t="shared" si="1"/>
        <v>30000</v>
      </c>
      <c r="R41" s="24"/>
    </row>
    <row r="42" spans="1:18" ht="27.6" hidden="1" x14ac:dyDescent="0.3">
      <c r="A42" s="3" t="s">
        <v>94</v>
      </c>
      <c r="B42" s="3" t="s">
        <v>95</v>
      </c>
      <c r="C42" s="3" t="s">
        <v>92</v>
      </c>
      <c r="D42" s="9" t="s">
        <v>96</v>
      </c>
      <c r="E42" s="10">
        <f t="shared" si="3"/>
        <v>40000</v>
      </c>
      <c r="F42" s="11">
        <v>40000</v>
      </c>
      <c r="G42" s="11">
        <v>0</v>
      </c>
      <c r="H42" s="11">
        <v>0</v>
      </c>
      <c r="I42" s="11">
        <v>0</v>
      </c>
      <c r="J42" s="10">
        <f t="shared" si="4"/>
        <v>0</v>
      </c>
      <c r="K42" s="11">
        <v>0</v>
      </c>
      <c r="L42" s="11">
        <v>0</v>
      </c>
      <c r="M42" s="11">
        <v>0</v>
      </c>
      <c r="N42" s="11">
        <v>0</v>
      </c>
      <c r="O42" s="11">
        <v>0</v>
      </c>
      <c r="P42" s="10">
        <f t="shared" si="1"/>
        <v>40000</v>
      </c>
      <c r="R42" s="24"/>
    </row>
    <row r="43" spans="1:18" hidden="1" x14ac:dyDescent="0.3">
      <c r="A43" s="3" t="s">
        <v>97</v>
      </c>
      <c r="B43" s="3" t="s">
        <v>98</v>
      </c>
      <c r="C43" s="3" t="s">
        <v>92</v>
      </c>
      <c r="D43" s="9" t="s">
        <v>99</v>
      </c>
      <c r="E43" s="10">
        <f t="shared" si="3"/>
        <v>400000</v>
      </c>
      <c r="F43" s="11">
        <v>400000</v>
      </c>
      <c r="G43" s="11">
        <v>0</v>
      </c>
      <c r="H43" s="11">
        <v>0</v>
      </c>
      <c r="I43" s="11">
        <v>0</v>
      </c>
      <c r="J43" s="10">
        <f t="shared" si="4"/>
        <v>0</v>
      </c>
      <c r="K43" s="11">
        <v>0</v>
      </c>
      <c r="L43" s="11">
        <v>0</v>
      </c>
      <c r="M43" s="11">
        <v>0</v>
      </c>
      <c r="N43" s="11">
        <v>0</v>
      </c>
      <c r="O43" s="11">
        <v>0</v>
      </c>
      <c r="P43" s="10">
        <f t="shared" si="1"/>
        <v>400000</v>
      </c>
      <c r="R43" s="24"/>
    </row>
    <row r="44" spans="1:18" ht="55.2" hidden="1" x14ac:dyDescent="0.3">
      <c r="A44" s="3" t="s">
        <v>100</v>
      </c>
      <c r="B44" s="3" t="s">
        <v>101</v>
      </c>
      <c r="C44" s="3" t="s">
        <v>27</v>
      </c>
      <c r="D44" s="9" t="s">
        <v>102</v>
      </c>
      <c r="E44" s="10">
        <f t="shared" si="3"/>
        <v>2000000</v>
      </c>
      <c r="F44" s="11">
        <v>2000000</v>
      </c>
      <c r="G44" s="11">
        <v>0</v>
      </c>
      <c r="H44" s="11">
        <v>0</v>
      </c>
      <c r="I44" s="11">
        <v>0</v>
      </c>
      <c r="J44" s="10">
        <f t="shared" si="4"/>
        <v>0</v>
      </c>
      <c r="K44" s="11">
        <v>0</v>
      </c>
      <c r="L44" s="11">
        <v>0</v>
      </c>
      <c r="M44" s="11">
        <v>0</v>
      </c>
      <c r="N44" s="11">
        <v>0</v>
      </c>
      <c r="O44" s="11">
        <v>0</v>
      </c>
      <c r="P44" s="10">
        <f t="shared" si="1"/>
        <v>2000000</v>
      </c>
      <c r="R44" s="24"/>
    </row>
    <row r="45" spans="1:18" ht="27.6" hidden="1" x14ac:dyDescent="0.3">
      <c r="A45" s="3" t="s">
        <v>103</v>
      </c>
      <c r="B45" s="3" t="s">
        <v>104</v>
      </c>
      <c r="C45" s="3" t="s">
        <v>105</v>
      </c>
      <c r="D45" s="9" t="s">
        <v>106</v>
      </c>
      <c r="E45" s="10">
        <f t="shared" si="3"/>
        <v>254100</v>
      </c>
      <c r="F45" s="11">
        <f>150000+104100</f>
        <v>254100</v>
      </c>
      <c r="G45" s="11">
        <v>0</v>
      </c>
      <c r="H45" s="11">
        <f>65000+40000</f>
        <v>105000</v>
      </c>
      <c r="I45" s="11">
        <v>0</v>
      </c>
      <c r="J45" s="10">
        <f t="shared" si="4"/>
        <v>0</v>
      </c>
      <c r="K45" s="11">
        <v>0</v>
      </c>
      <c r="L45" s="11">
        <v>0</v>
      </c>
      <c r="M45" s="11">
        <v>0</v>
      </c>
      <c r="N45" s="11">
        <v>0</v>
      </c>
      <c r="O45" s="11">
        <v>0</v>
      </c>
      <c r="P45" s="10">
        <f t="shared" si="1"/>
        <v>254100</v>
      </c>
      <c r="R45" s="24"/>
    </row>
    <row r="46" spans="1:18" ht="27.6" hidden="1" x14ac:dyDescent="0.3">
      <c r="A46" s="3" t="s">
        <v>107</v>
      </c>
      <c r="B46" s="3" t="s">
        <v>108</v>
      </c>
      <c r="C46" s="3" t="s">
        <v>109</v>
      </c>
      <c r="D46" s="9" t="s">
        <v>110</v>
      </c>
      <c r="E46" s="10">
        <f t="shared" si="3"/>
        <v>1092617</v>
      </c>
      <c r="F46" s="11">
        <f>1000000+92617-48000</f>
        <v>1044617</v>
      </c>
      <c r="G46" s="11">
        <v>0</v>
      </c>
      <c r="H46" s="11">
        <v>0</v>
      </c>
      <c r="I46" s="11">
        <v>48000</v>
      </c>
      <c r="J46" s="10">
        <f t="shared" si="4"/>
        <v>0</v>
      </c>
      <c r="K46" s="11">
        <v>0</v>
      </c>
      <c r="L46" s="11">
        <v>0</v>
      </c>
      <c r="M46" s="11">
        <v>0</v>
      </c>
      <c r="N46" s="11">
        <v>0</v>
      </c>
      <c r="O46" s="11">
        <v>0</v>
      </c>
      <c r="P46" s="10">
        <f t="shared" si="1"/>
        <v>1092617</v>
      </c>
      <c r="R46" s="24"/>
    </row>
    <row r="47" spans="1:18" hidden="1" x14ac:dyDescent="0.3">
      <c r="A47" s="23" t="s">
        <v>192</v>
      </c>
      <c r="B47" s="16">
        <v>8240</v>
      </c>
      <c r="C47" s="16" t="s">
        <v>109</v>
      </c>
      <c r="D47" s="9" t="s">
        <v>191</v>
      </c>
      <c r="E47" s="10">
        <f t="shared" ref="E47:E48" si="11">F47+I47</f>
        <v>100000</v>
      </c>
      <c r="F47" s="11">
        <v>100000</v>
      </c>
      <c r="G47" s="11">
        <v>0</v>
      </c>
      <c r="H47" s="11">
        <v>0</v>
      </c>
      <c r="I47" s="11">
        <v>0</v>
      </c>
      <c r="J47" s="10">
        <f t="shared" ref="J47:J49" si="12">L47+O47</f>
        <v>0</v>
      </c>
      <c r="K47" s="11">
        <v>0</v>
      </c>
      <c r="L47" s="11">
        <v>0</v>
      </c>
      <c r="M47" s="11">
        <v>0</v>
      </c>
      <c r="N47" s="11">
        <v>0</v>
      </c>
      <c r="O47" s="11">
        <v>0</v>
      </c>
      <c r="P47" s="10">
        <f t="shared" ref="P47:P48" si="13">E47 + J47</f>
        <v>100000</v>
      </c>
      <c r="R47" s="24"/>
    </row>
    <row r="48" spans="1:18" ht="27.6" hidden="1" x14ac:dyDescent="0.3">
      <c r="A48" s="16" t="s">
        <v>111</v>
      </c>
      <c r="B48" s="16" t="s">
        <v>112</v>
      </c>
      <c r="C48" s="16" t="s">
        <v>113</v>
      </c>
      <c r="D48" s="9" t="s">
        <v>114</v>
      </c>
      <c r="E48" s="10">
        <f t="shared" si="11"/>
        <v>0</v>
      </c>
      <c r="F48" s="11">
        <v>0</v>
      </c>
      <c r="G48" s="11">
        <v>0</v>
      </c>
      <c r="H48" s="11">
        <v>0</v>
      </c>
      <c r="I48" s="11">
        <v>0</v>
      </c>
      <c r="J48" s="10">
        <f t="shared" si="12"/>
        <v>55000</v>
      </c>
      <c r="K48" s="11">
        <v>0</v>
      </c>
      <c r="L48" s="11">
        <v>55000</v>
      </c>
      <c r="M48" s="11">
        <v>0</v>
      </c>
      <c r="N48" s="11">
        <v>0</v>
      </c>
      <c r="O48" s="11">
        <f>55000-55000</f>
        <v>0</v>
      </c>
      <c r="P48" s="10">
        <f t="shared" si="13"/>
        <v>55000</v>
      </c>
      <c r="R48" s="24"/>
    </row>
    <row r="49" spans="1:18" ht="27.6" hidden="1" x14ac:dyDescent="0.3">
      <c r="A49" s="23" t="s">
        <v>193</v>
      </c>
      <c r="B49" s="3">
        <v>8831</v>
      </c>
      <c r="C49" s="3">
        <v>1060</v>
      </c>
      <c r="D49" s="9" t="s">
        <v>194</v>
      </c>
      <c r="E49" s="10">
        <f t="shared" si="3"/>
        <v>0</v>
      </c>
      <c r="F49" s="11">
        <v>0</v>
      </c>
      <c r="G49" s="11">
        <v>0</v>
      </c>
      <c r="H49" s="11">
        <v>0</v>
      </c>
      <c r="I49" s="11">
        <v>0</v>
      </c>
      <c r="J49" s="10">
        <f t="shared" si="12"/>
        <v>0</v>
      </c>
      <c r="K49" s="11">
        <v>0</v>
      </c>
      <c r="L49" s="11">
        <v>0</v>
      </c>
      <c r="M49" s="11">
        <v>0</v>
      </c>
      <c r="N49" s="11">
        <v>0</v>
      </c>
      <c r="O49" s="11">
        <f>55000-55000</f>
        <v>0</v>
      </c>
      <c r="P49" s="10">
        <f t="shared" si="1"/>
        <v>0</v>
      </c>
      <c r="R49" s="24"/>
    </row>
    <row r="50" spans="1:18" ht="41.4" x14ac:dyDescent="0.3">
      <c r="A50" s="5" t="s">
        <v>115</v>
      </c>
      <c r="B50" s="5" t="s">
        <v>19</v>
      </c>
      <c r="C50" s="5" t="s">
        <v>19</v>
      </c>
      <c r="D50" s="6" t="s">
        <v>172</v>
      </c>
      <c r="E50" s="7">
        <f t="shared" ref="E50:O50" si="14">E51</f>
        <v>216395977</v>
      </c>
      <c r="F50" s="8">
        <f t="shared" si="14"/>
        <v>215767977</v>
      </c>
      <c r="G50" s="8">
        <f t="shared" si="14"/>
        <v>146191420</v>
      </c>
      <c r="H50" s="8">
        <f t="shared" si="14"/>
        <v>23232550</v>
      </c>
      <c r="I50" s="8">
        <f t="shared" si="14"/>
        <v>628000</v>
      </c>
      <c r="J50" s="7">
        <f t="shared" si="14"/>
        <v>3235000</v>
      </c>
      <c r="K50" s="8">
        <f t="shared" si="14"/>
        <v>1184500</v>
      </c>
      <c r="L50" s="8">
        <f t="shared" si="14"/>
        <v>2050500</v>
      </c>
      <c r="M50" s="8">
        <f t="shared" si="14"/>
        <v>150000</v>
      </c>
      <c r="N50" s="8">
        <f t="shared" si="14"/>
        <v>0</v>
      </c>
      <c r="O50" s="8">
        <f t="shared" si="14"/>
        <v>1184500</v>
      </c>
      <c r="P50" s="7">
        <f t="shared" si="1"/>
        <v>219630977</v>
      </c>
      <c r="R50" s="24">
        <v>1</v>
      </c>
    </row>
    <row r="51" spans="1:18" ht="41.4" x14ac:dyDescent="0.3">
      <c r="A51" s="5" t="s">
        <v>116</v>
      </c>
      <c r="B51" s="5" t="s">
        <v>19</v>
      </c>
      <c r="C51" s="5" t="s">
        <v>19</v>
      </c>
      <c r="D51" s="6" t="s">
        <v>173</v>
      </c>
      <c r="E51" s="7">
        <f>SUM(E52:E70)</f>
        <v>216395977</v>
      </c>
      <c r="F51" s="8">
        <f t="shared" ref="F51:O51" si="15">SUM(F52:F70)</f>
        <v>215767977</v>
      </c>
      <c r="G51" s="8">
        <f t="shared" si="15"/>
        <v>146191420</v>
      </c>
      <c r="H51" s="8">
        <f t="shared" si="15"/>
        <v>23232550</v>
      </c>
      <c r="I51" s="8">
        <f t="shared" si="15"/>
        <v>628000</v>
      </c>
      <c r="J51" s="7">
        <f t="shared" si="15"/>
        <v>3235000</v>
      </c>
      <c r="K51" s="15">
        <f t="shared" si="15"/>
        <v>1184500</v>
      </c>
      <c r="L51" s="15">
        <f t="shared" si="15"/>
        <v>2050500</v>
      </c>
      <c r="M51" s="15">
        <f t="shared" si="15"/>
        <v>150000</v>
      </c>
      <c r="N51" s="15">
        <f t="shared" si="15"/>
        <v>0</v>
      </c>
      <c r="O51" s="15">
        <f t="shared" si="15"/>
        <v>1184500</v>
      </c>
      <c r="P51" s="7">
        <f t="shared" si="1"/>
        <v>219630977</v>
      </c>
      <c r="R51" s="24">
        <v>1</v>
      </c>
    </row>
    <row r="52" spans="1:18" ht="41.4" hidden="1" x14ac:dyDescent="0.3">
      <c r="A52" s="3" t="s">
        <v>117</v>
      </c>
      <c r="B52" s="3" t="s">
        <v>118</v>
      </c>
      <c r="C52" s="3" t="s">
        <v>23</v>
      </c>
      <c r="D52" s="9" t="s">
        <v>119</v>
      </c>
      <c r="E52" s="10">
        <f t="shared" ref="E52:E70" si="16">F52+I52</f>
        <v>2410650</v>
      </c>
      <c r="F52" s="11">
        <f>2370650+40000</f>
        <v>2410650</v>
      </c>
      <c r="G52" s="11">
        <v>1800000</v>
      </c>
      <c r="H52" s="11">
        <f>114650</f>
        <v>114650</v>
      </c>
      <c r="I52" s="11">
        <v>0</v>
      </c>
      <c r="J52" s="10">
        <f t="shared" ref="J52:J67" si="17">L52+O52</f>
        <v>0</v>
      </c>
      <c r="K52" s="11">
        <v>0</v>
      </c>
      <c r="L52" s="11">
        <v>0</v>
      </c>
      <c r="M52" s="11">
        <v>0</v>
      </c>
      <c r="N52" s="11">
        <v>0</v>
      </c>
      <c r="O52" s="11">
        <v>0</v>
      </c>
      <c r="P52" s="10">
        <f t="shared" si="1"/>
        <v>2410650</v>
      </c>
      <c r="R52" s="24"/>
    </row>
    <row r="53" spans="1:18" ht="25.5" customHeight="1" x14ac:dyDescent="0.3">
      <c r="A53" s="3" t="s">
        <v>120</v>
      </c>
      <c r="B53" s="3" t="s">
        <v>54</v>
      </c>
      <c r="C53" s="3" t="s">
        <v>121</v>
      </c>
      <c r="D53" s="9" t="s">
        <v>122</v>
      </c>
      <c r="E53" s="10">
        <f t="shared" si="16"/>
        <v>35089400</v>
      </c>
      <c r="F53" s="11">
        <f>33275800+50000+525000+1000000-60000</f>
        <v>34790800</v>
      </c>
      <c r="G53" s="11">
        <f>21400000+819675</f>
        <v>22219675</v>
      </c>
      <c r="H53" s="11">
        <f>5640500+50000-60000</f>
        <v>5630500</v>
      </c>
      <c r="I53" s="11">
        <v>298600</v>
      </c>
      <c r="J53" s="10">
        <f t="shared" si="17"/>
        <v>1770500</v>
      </c>
      <c r="K53" s="11">
        <v>0</v>
      </c>
      <c r="L53" s="11">
        <v>1770500</v>
      </c>
      <c r="M53" s="11">
        <v>0</v>
      </c>
      <c r="N53" s="11">
        <v>0</v>
      </c>
      <c r="O53" s="11">
        <v>0</v>
      </c>
      <c r="P53" s="10">
        <f t="shared" si="1"/>
        <v>36859900</v>
      </c>
      <c r="R53" s="24">
        <v>1</v>
      </c>
    </row>
    <row r="54" spans="1:18" ht="49.5" customHeight="1" x14ac:dyDescent="0.3">
      <c r="A54" s="3" t="s">
        <v>123</v>
      </c>
      <c r="B54" s="3" t="s">
        <v>124</v>
      </c>
      <c r="C54" s="3" t="s">
        <v>125</v>
      </c>
      <c r="D54" s="9" t="s">
        <v>126</v>
      </c>
      <c r="E54" s="10">
        <f t="shared" si="16"/>
        <v>34680782</v>
      </c>
      <c r="F54" s="11">
        <f>31996800+500000-150000+2241066-31284</f>
        <v>34556582</v>
      </c>
      <c r="G54" s="11">
        <v>13100000</v>
      </c>
      <c r="H54" s="11">
        <f>12800000-150000+1973566</f>
        <v>14623566</v>
      </c>
      <c r="I54" s="11">
        <v>124200</v>
      </c>
      <c r="J54" s="10">
        <f t="shared" si="17"/>
        <v>100000</v>
      </c>
      <c r="K54" s="11">
        <v>0</v>
      </c>
      <c r="L54" s="11">
        <v>100000</v>
      </c>
      <c r="M54" s="11">
        <v>0</v>
      </c>
      <c r="N54" s="11">
        <v>0</v>
      </c>
      <c r="O54" s="11">
        <v>0</v>
      </c>
      <c r="P54" s="10">
        <f t="shared" si="1"/>
        <v>34780782</v>
      </c>
      <c r="R54" s="24">
        <v>1</v>
      </c>
    </row>
    <row r="55" spans="1:18" ht="49.5" hidden="1" customHeight="1" x14ac:dyDescent="0.3">
      <c r="A55" s="14" t="s">
        <v>177</v>
      </c>
      <c r="B55" s="14" t="s">
        <v>178</v>
      </c>
      <c r="C55" s="14" t="s">
        <v>125</v>
      </c>
      <c r="D55" s="9" t="s">
        <v>179</v>
      </c>
      <c r="E55" s="10">
        <f t="shared" si="16"/>
        <v>97926800</v>
      </c>
      <c r="F55" s="11">
        <v>97926800</v>
      </c>
      <c r="G55" s="11">
        <v>80266800</v>
      </c>
      <c r="H55" s="11"/>
      <c r="I55" s="11"/>
      <c r="J55" s="10">
        <f t="shared" si="17"/>
        <v>0</v>
      </c>
      <c r="K55" s="11"/>
      <c r="L55" s="11"/>
      <c r="M55" s="11"/>
      <c r="N55" s="11"/>
      <c r="O55" s="11"/>
      <c r="P55" s="10">
        <f t="shared" si="1"/>
        <v>97926800</v>
      </c>
      <c r="R55" s="24"/>
    </row>
    <row r="56" spans="1:18" ht="41.4" hidden="1" x14ac:dyDescent="0.3">
      <c r="A56" s="3" t="s">
        <v>127</v>
      </c>
      <c r="B56" s="3" t="s">
        <v>43</v>
      </c>
      <c r="C56" s="3" t="s">
        <v>128</v>
      </c>
      <c r="D56" s="9" t="s">
        <v>129</v>
      </c>
      <c r="E56" s="10">
        <f t="shared" si="16"/>
        <v>4244200</v>
      </c>
      <c r="F56" s="11">
        <f>4157200+6000</f>
        <v>4163200</v>
      </c>
      <c r="G56" s="11">
        <v>2900000</v>
      </c>
      <c r="H56" s="11">
        <v>513100</v>
      </c>
      <c r="I56" s="11">
        <f>81000</f>
        <v>81000</v>
      </c>
      <c r="J56" s="10">
        <f t="shared" si="17"/>
        <v>0</v>
      </c>
      <c r="K56" s="11">
        <v>0</v>
      </c>
      <c r="L56" s="11">
        <v>0</v>
      </c>
      <c r="M56" s="11">
        <v>0</v>
      </c>
      <c r="N56" s="11">
        <v>0</v>
      </c>
      <c r="O56" s="11">
        <v>0</v>
      </c>
      <c r="P56" s="10">
        <f t="shared" si="1"/>
        <v>4244200</v>
      </c>
      <c r="R56" s="24"/>
    </row>
    <row r="57" spans="1:18" ht="27.6" hidden="1" x14ac:dyDescent="0.3">
      <c r="A57" s="3" t="s">
        <v>130</v>
      </c>
      <c r="B57" s="3" t="s">
        <v>131</v>
      </c>
      <c r="C57" s="3" t="s">
        <v>128</v>
      </c>
      <c r="D57" s="9" t="s">
        <v>132</v>
      </c>
      <c r="E57" s="10">
        <f t="shared" si="16"/>
        <v>6021700</v>
      </c>
      <c r="F57" s="11">
        <f>5552000+90000+255500</f>
        <v>5897500</v>
      </c>
      <c r="G57" s="11">
        <v>4231000</v>
      </c>
      <c r="H57" s="11">
        <f>277900+90000</f>
        <v>367900</v>
      </c>
      <c r="I57" s="11">
        <v>124200</v>
      </c>
      <c r="J57" s="10">
        <f t="shared" si="17"/>
        <v>180000</v>
      </c>
      <c r="K57" s="11">
        <v>0</v>
      </c>
      <c r="L57" s="11">
        <v>180000</v>
      </c>
      <c r="M57" s="11">
        <v>150000</v>
      </c>
      <c r="N57" s="11">
        <v>0</v>
      </c>
      <c r="O57" s="11">
        <v>0</v>
      </c>
      <c r="P57" s="10">
        <f t="shared" si="1"/>
        <v>6201700</v>
      </c>
      <c r="R57" s="24"/>
    </row>
    <row r="58" spans="1:18" ht="32.25" customHeight="1" x14ac:dyDescent="0.3">
      <c r="A58" s="3" t="s">
        <v>133</v>
      </c>
      <c r="B58" s="3" t="s">
        <v>134</v>
      </c>
      <c r="C58" s="3" t="s">
        <v>135</v>
      </c>
      <c r="D58" s="9" t="s">
        <v>136</v>
      </c>
      <c r="E58" s="10">
        <f t="shared" si="16"/>
        <v>6746800</v>
      </c>
      <c r="F58" s="11">
        <f>6502800+244000</f>
        <v>6746800</v>
      </c>
      <c r="G58" s="11">
        <f>5100000+200000</f>
        <v>5300000</v>
      </c>
      <c r="H58" s="11">
        <v>169500</v>
      </c>
      <c r="I58" s="11">
        <v>0</v>
      </c>
      <c r="J58" s="10">
        <f t="shared" si="17"/>
        <v>0</v>
      </c>
      <c r="K58" s="11">
        <v>0</v>
      </c>
      <c r="L58" s="11">
        <v>0</v>
      </c>
      <c r="M58" s="11">
        <v>0</v>
      </c>
      <c r="N58" s="11">
        <v>0</v>
      </c>
      <c r="O58" s="11">
        <v>0</v>
      </c>
      <c r="P58" s="10">
        <f t="shared" si="1"/>
        <v>6746800</v>
      </c>
      <c r="R58" s="24">
        <v>1</v>
      </c>
    </row>
    <row r="59" spans="1:18" x14ac:dyDescent="0.3">
      <c r="A59" s="3" t="s">
        <v>137</v>
      </c>
      <c r="B59" s="3" t="s">
        <v>138</v>
      </c>
      <c r="C59" s="3" t="s">
        <v>135</v>
      </c>
      <c r="D59" s="9" t="s">
        <v>139</v>
      </c>
      <c r="E59" s="10">
        <f t="shared" si="16"/>
        <v>2165604</v>
      </c>
      <c r="F59" s="11">
        <f>2034320+100000+31284</f>
        <v>2165604</v>
      </c>
      <c r="G59" s="11">
        <v>0</v>
      </c>
      <c r="H59" s="11">
        <v>0</v>
      </c>
      <c r="I59" s="11">
        <v>0</v>
      </c>
      <c r="J59" s="10">
        <f t="shared" si="17"/>
        <v>0</v>
      </c>
      <c r="K59" s="11">
        <v>0</v>
      </c>
      <c r="L59" s="11">
        <v>0</v>
      </c>
      <c r="M59" s="11">
        <v>0</v>
      </c>
      <c r="N59" s="11">
        <v>0</v>
      </c>
      <c r="O59" s="11">
        <v>0</v>
      </c>
      <c r="P59" s="10">
        <f t="shared" si="1"/>
        <v>2165604</v>
      </c>
      <c r="R59" s="24">
        <v>1</v>
      </c>
    </row>
    <row r="60" spans="1:18" ht="33.75" customHeight="1" x14ac:dyDescent="0.3">
      <c r="A60" s="3" t="s">
        <v>140</v>
      </c>
      <c r="B60" s="3" t="s">
        <v>141</v>
      </c>
      <c r="C60" s="3" t="s">
        <v>135</v>
      </c>
      <c r="D60" s="9" t="s">
        <v>142</v>
      </c>
      <c r="E60" s="10">
        <f t="shared" si="16"/>
        <v>334990</v>
      </c>
      <c r="F60" s="11">
        <f>314990+10000+10000</f>
        <v>334990</v>
      </c>
      <c r="G60" s="11">
        <v>104500</v>
      </c>
      <c r="H60" s="11">
        <f>36400+10000+10000</f>
        <v>56400</v>
      </c>
      <c r="I60" s="11">
        <v>0</v>
      </c>
      <c r="J60" s="10">
        <f t="shared" si="17"/>
        <v>0</v>
      </c>
      <c r="K60" s="11">
        <v>0</v>
      </c>
      <c r="L60" s="11">
        <v>0</v>
      </c>
      <c r="M60" s="11">
        <v>0</v>
      </c>
      <c r="N60" s="11">
        <v>0</v>
      </c>
      <c r="O60" s="11">
        <v>0</v>
      </c>
      <c r="P60" s="10">
        <f t="shared" si="1"/>
        <v>334990</v>
      </c>
      <c r="R60" s="24">
        <v>1</v>
      </c>
    </row>
    <row r="61" spans="1:18" ht="33.75" hidden="1" customHeight="1" x14ac:dyDescent="0.3">
      <c r="A61" s="14" t="s">
        <v>181</v>
      </c>
      <c r="B61" s="14">
        <v>1152</v>
      </c>
      <c r="C61" s="14" t="s">
        <v>182</v>
      </c>
      <c r="D61" s="9" t="s">
        <v>180</v>
      </c>
      <c r="E61" s="10">
        <f t="shared" si="16"/>
        <v>1372000</v>
      </c>
      <c r="F61" s="11">
        <v>1372000</v>
      </c>
      <c r="G61" s="11">
        <v>1143400</v>
      </c>
      <c r="H61" s="11"/>
      <c r="I61" s="11"/>
      <c r="J61" s="10">
        <f t="shared" si="17"/>
        <v>0</v>
      </c>
      <c r="K61" s="11"/>
      <c r="L61" s="11"/>
      <c r="M61" s="11"/>
      <c r="N61" s="11"/>
      <c r="O61" s="11"/>
      <c r="P61" s="10">
        <f t="shared" si="1"/>
        <v>1372000</v>
      </c>
      <c r="R61" s="24"/>
    </row>
    <row r="62" spans="1:18" ht="89.25" customHeight="1" x14ac:dyDescent="0.3">
      <c r="A62" s="27" t="s">
        <v>205</v>
      </c>
      <c r="B62" s="27">
        <v>1183</v>
      </c>
      <c r="C62" s="27" t="s">
        <v>182</v>
      </c>
      <c r="D62" s="9" t="s">
        <v>206</v>
      </c>
      <c r="E62" s="10">
        <f t="shared" si="16"/>
        <v>0</v>
      </c>
      <c r="F62" s="11"/>
      <c r="G62" s="11"/>
      <c r="H62" s="11"/>
      <c r="I62" s="11"/>
      <c r="J62" s="10">
        <f t="shared" si="17"/>
        <v>117800</v>
      </c>
      <c r="K62" s="11">
        <v>117800</v>
      </c>
      <c r="L62" s="11"/>
      <c r="M62" s="11"/>
      <c r="N62" s="11"/>
      <c r="O62" s="11">
        <v>117800</v>
      </c>
      <c r="P62" s="10">
        <f t="shared" si="1"/>
        <v>117800</v>
      </c>
      <c r="R62" s="24">
        <v>1</v>
      </c>
    </row>
    <row r="63" spans="1:18" ht="74.25" customHeight="1" x14ac:dyDescent="0.3">
      <c r="A63" s="27" t="s">
        <v>202</v>
      </c>
      <c r="B63" s="27">
        <v>1184</v>
      </c>
      <c r="C63" s="27" t="s">
        <v>203</v>
      </c>
      <c r="D63" s="9" t="s">
        <v>204</v>
      </c>
      <c r="E63" s="10">
        <f t="shared" si="16"/>
        <v>0</v>
      </c>
      <c r="F63" s="11"/>
      <c r="G63" s="11"/>
      <c r="H63" s="11"/>
      <c r="I63" s="11"/>
      <c r="J63" s="10">
        <f t="shared" si="17"/>
        <v>1066700</v>
      </c>
      <c r="K63" s="11">
        <v>1066700</v>
      </c>
      <c r="L63" s="11"/>
      <c r="M63" s="11"/>
      <c r="N63" s="11"/>
      <c r="O63" s="11">
        <v>1066700</v>
      </c>
      <c r="P63" s="10">
        <f t="shared" si="1"/>
        <v>1066700</v>
      </c>
      <c r="R63" s="24">
        <v>1</v>
      </c>
    </row>
    <row r="64" spans="1:18" ht="81" hidden="1" customHeight="1" x14ac:dyDescent="0.3">
      <c r="A64" s="17" t="s">
        <v>187</v>
      </c>
      <c r="B64" s="17">
        <v>1200</v>
      </c>
      <c r="C64" s="17" t="s">
        <v>182</v>
      </c>
      <c r="D64" s="18" t="s">
        <v>188</v>
      </c>
      <c r="E64" s="10">
        <f t="shared" si="16"/>
        <v>215200</v>
      </c>
      <c r="F64" s="11">
        <v>215200</v>
      </c>
      <c r="G64" s="11">
        <v>176395</v>
      </c>
      <c r="H64" s="11"/>
      <c r="I64" s="11"/>
      <c r="J64" s="10">
        <f t="shared" si="17"/>
        <v>0</v>
      </c>
      <c r="K64" s="11"/>
      <c r="L64" s="11"/>
      <c r="M64" s="11"/>
      <c r="N64" s="11"/>
      <c r="O64" s="11"/>
      <c r="P64" s="10">
        <f t="shared" si="1"/>
        <v>215200</v>
      </c>
      <c r="R64" s="24"/>
    </row>
    <row r="65" spans="1:18" ht="48.75" hidden="1" customHeight="1" x14ac:dyDescent="0.3">
      <c r="A65" s="14" t="s">
        <v>185</v>
      </c>
      <c r="B65" s="14">
        <v>1600</v>
      </c>
      <c r="C65" s="14" t="s">
        <v>182</v>
      </c>
      <c r="D65" s="9" t="s">
        <v>186</v>
      </c>
      <c r="E65" s="10">
        <f t="shared" si="16"/>
        <v>8862600</v>
      </c>
      <c r="F65" s="11">
        <v>8862600</v>
      </c>
      <c r="G65" s="11">
        <v>7265000</v>
      </c>
      <c r="H65" s="11"/>
      <c r="I65" s="11"/>
      <c r="J65" s="10">
        <f t="shared" si="17"/>
        <v>0</v>
      </c>
      <c r="K65" s="11"/>
      <c r="L65" s="11"/>
      <c r="M65" s="11"/>
      <c r="N65" s="11"/>
      <c r="O65" s="11"/>
      <c r="P65" s="10">
        <f t="shared" si="1"/>
        <v>8862600</v>
      </c>
      <c r="R65" s="24"/>
    </row>
    <row r="66" spans="1:18" ht="47.25" hidden="1" customHeight="1" x14ac:dyDescent="0.3">
      <c r="A66" s="14" t="s">
        <v>183</v>
      </c>
      <c r="B66" s="14">
        <v>1702</v>
      </c>
      <c r="C66" s="14" t="s">
        <v>182</v>
      </c>
      <c r="D66" s="9" t="s">
        <v>184</v>
      </c>
      <c r="E66" s="10">
        <f t="shared" si="16"/>
        <v>4401300</v>
      </c>
      <c r="F66" s="11">
        <v>4401300</v>
      </c>
      <c r="G66" s="11"/>
      <c r="H66" s="11"/>
      <c r="I66" s="11"/>
      <c r="J66" s="10">
        <f t="shared" si="17"/>
        <v>0</v>
      </c>
      <c r="K66" s="11"/>
      <c r="L66" s="11"/>
      <c r="M66" s="11"/>
      <c r="N66" s="11"/>
      <c r="O66" s="11"/>
      <c r="P66" s="10">
        <f t="shared" si="1"/>
        <v>4401300</v>
      </c>
      <c r="R66" s="24"/>
    </row>
    <row r="67" spans="1:18" ht="23.25" hidden="1" customHeight="1" x14ac:dyDescent="0.3">
      <c r="A67" s="3" t="s">
        <v>143</v>
      </c>
      <c r="B67" s="3" t="s">
        <v>144</v>
      </c>
      <c r="C67" s="3" t="s">
        <v>145</v>
      </c>
      <c r="D67" s="9" t="s">
        <v>146</v>
      </c>
      <c r="E67" s="10">
        <f t="shared" si="16"/>
        <v>3926850</v>
      </c>
      <c r="F67" s="11">
        <v>3926850</v>
      </c>
      <c r="G67" s="11">
        <v>2668650</v>
      </c>
      <c r="H67" s="11">
        <v>565000</v>
      </c>
      <c r="I67" s="11">
        <v>0</v>
      </c>
      <c r="J67" s="10">
        <f t="shared" si="17"/>
        <v>0</v>
      </c>
      <c r="K67" s="11">
        <v>0</v>
      </c>
      <c r="L67" s="11">
        <v>0</v>
      </c>
      <c r="M67" s="11">
        <v>0</v>
      </c>
      <c r="N67" s="11">
        <v>0</v>
      </c>
      <c r="O67" s="11">
        <v>0</v>
      </c>
      <c r="P67" s="10">
        <f t="shared" si="1"/>
        <v>3926850</v>
      </c>
      <c r="R67" s="24"/>
    </row>
    <row r="68" spans="1:18" ht="45" customHeight="1" x14ac:dyDescent="0.3">
      <c r="A68" s="3" t="s">
        <v>147</v>
      </c>
      <c r="B68" s="3" t="s">
        <v>148</v>
      </c>
      <c r="C68" s="3" t="s">
        <v>149</v>
      </c>
      <c r="D68" s="9" t="s">
        <v>150</v>
      </c>
      <c r="E68" s="10">
        <f t="shared" si="16"/>
        <v>5401801</v>
      </c>
      <c r="F68" s="11">
        <f>5321567+26434+28800+25000</f>
        <v>5401801</v>
      </c>
      <c r="G68" s="11">
        <v>3300000</v>
      </c>
      <c r="H68" s="11">
        <f>1034500+26434+25000</f>
        <v>1085934</v>
      </c>
      <c r="I68" s="11">
        <v>0</v>
      </c>
      <c r="J68" s="10">
        <v>0</v>
      </c>
      <c r="K68" s="11">
        <v>0</v>
      </c>
      <c r="L68" s="11">
        <v>0</v>
      </c>
      <c r="M68" s="11">
        <v>0</v>
      </c>
      <c r="N68" s="11">
        <v>0</v>
      </c>
      <c r="O68" s="11">
        <v>0</v>
      </c>
      <c r="P68" s="10">
        <f t="shared" si="1"/>
        <v>5401801</v>
      </c>
      <c r="R68" s="24">
        <v>1</v>
      </c>
    </row>
    <row r="69" spans="1:18" hidden="1" x14ac:dyDescent="0.3">
      <c r="A69" s="3" t="s">
        <v>151</v>
      </c>
      <c r="B69" s="3" t="s">
        <v>152</v>
      </c>
      <c r="C69" s="3" t="s">
        <v>153</v>
      </c>
      <c r="D69" s="9" t="s">
        <v>154</v>
      </c>
      <c r="E69" s="10">
        <f t="shared" si="16"/>
        <v>100000</v>
      </c>
      <c r="F69" s="11">
        <v>100000</v>
      </c>
      <c r="G69" s="11">
        <v>0</v>
      </c>
      <c r="H69" s="11">
        <v>0</v>
      </c>
      <c r="I69" s="11">
        <v>0</v>
      </c>
      <c r="J69" s="10">
        <f>L69+O69</f>
        <v>0</v>
      </c>
      <c r="K69" s="11">
        <v>0</v>
      </c>
      <c r="L69" s="11">
        <v>0</v>
      </c>
      <c r="M69" s="11">
        <v>0</v>
      </c>
      <c r="N69" s="11">
        <v>0</v>
      </c>
      <c r="O69" s="11">
        <v>0</v>
      </c>
      <c r="P69" s="10">
        <f t="shared" si="1"/>
        <v>100000</v>
      </c>
      <c r="R69" s="24"/>
    </row>
    <row r="70" spans="1:18" ht="41.4" x14ac:dyDescent="0.3">
      <c r="A70" s="3" t="s">
        <v>155</v>
      </c>
      <c r="B70" s="3" t="s">
        <v>156</v>
      </c>
      <c r="C70" s="3" t="s">
        <v>157</v>
      </c>
      <c r="D70" s="9" t="s">
        <v>158</v>
      </c>
      <c r="E70" s="10">
        <f t="shared" si="16"/>
        <v>2495300</v>
      </c>
      <c r="F70" s="11">
        <f>2621100+93200+25000-244000</f>
        <v>2495300</v>
      </c>
      <c r="G70" s="11">
        <f>1916000-200000</f>
        <v>1716000</v>
      </c>
      <c r="H70" s="11">
        <f>81000+25000</f>
        <v>106000</v>
      </c>
      <c r="I70" s="11">
        <v>0</v>
      </c>
      <c r="J70" s="10">
        <f>L70+O70</f>
        <v>0</v>
      </c>
      <c r="K70" s="11">
        <v>0</v>
      </c>
      <c r="L70" s="11">
        <v>0</v>
      </c>
      <c r="M70" s="11">
        <v>0</v>
      </c>
      <c r="N70" s="11">
        <v>0</v>
      </c>
      <c r="O70" s="11">
        <v>0</v>
      </c>
      <c r="P70" s="10">
        <f t="shared" si="1"/>
        <v>2495300</v>
      </c>
      <c r="R70" s="24">
        <v>1</v>
      </c>
    </row>
    <row r="71" spans="1:18" ht="27.6" x14ac:dyDescent="0.3">
      <c r="A71" s="5" t="s">
        <v>159</v>
      </c>
      <c r="B71" s="5" t="s">
        <v>19</v>
      </c>
      <c r="C71" s="5" t="s">
        <v>19</v>
      </c>
      <c r="D71" s="6" t="s">
        <v>174</v>
      </c>
      <c r="E71" s="7">
        <f>E72</f>
        <v>5030860</v>
      </c>
      <c r="F71" s="8">
        <f>F72</f>
        <v>3831860</v>
      </c>
      <c r="G71" s="8">
        <f>G72</f>
        <v>1524750</v>
      </c>
      <c r="H71" s="8">
        <f>H72</f>
        <v>57400</v>
      </c>
      <c r="I71" s="8">
        <v>0</v>
      </c>
      <c r="J71" s="7">
        <f t="shared" ref="J71:O71" si="18">J72</f>
        <v>0</v>
      </c>
      <c r="K71" s="8">
        <f t="shared" si="18"/>
        <v>0</v>
      </c>
      <c r="L71" s="8">
        <f t="shared" si="18"/>
        <v>0</v>
      </c>
      <c r="M71" s="8">
        <f t="shared" si="18"/>
        <v>0</v>
      </c>
      <c r="N71" s="8">
        <f t="shared" si="18"/>
        <v>0</v>
      </c>
      <c r="O71" s="8">
        <f t="shared" si="18"/>
        <v>0</v>
      </c>
      <c r="P71" s="7">
        <f t="shared" si="1"/>
        <v>5030860</v>
      </c>
      <c r="R71" s="24">
        <v>1</v>
      </c>
    </row>
    <row r="72" spans="1:18" ht="27.6" x14ac:dyDescent="0.3">
      <c r="A72" s="5" t="s">
        <v>160</v>
      </c>
      <c r="B72" s="5" t="s">
        <v>19</v>
      </c>
      <c r="C72" s="5" t="s">
        <v>19</v>
      </c>
      <c r="D72" s="6" t="s">
        <v>175</v>
      </c>
      <c r="E72" s="7">
        <f>SUM(E73:E75)</f>
        <v>5030860</v>
      </c>
      <c r="F72" s="8">
        <f t="shared" ref="F72:O72" si="19">SUM(F73:F75)</f>
        <v>3831860</v>
      </c>
      <c r="G72" s="8">
        <f t="shared" si="19"/>
        <v>1524750</v>
      </c>
      <c r="H72" s="8">
        <f t="shared" si="19"/>
        <v>57400</v>
      </c>
      <c r="I72" s="8">
        <f t="shared" si="19"/>
        <v>1199000</v>
      </c>
      <c r="J72" s="7">
        <f t="shared" si="19"/>
        <v>0</v>
      </c>
      <c r="K72" s="8">
        <f t="shared" si="19"/>
        <v>0</v>
      </c>
      <c r="L72" s="8">
        <f t="shared" si="19"/>
        <v>0</v>
      </c>
      <c r="M72" s="8">
        <f t="shared" si="19"/>
        <v>0</v>
      </c>
      <c r="N72" s="8">
        <f t="shared" si="19"/>
        <v>0</v>
      </c>
      <c r="O72" s="8">
        <f t="shared" si="19"/>
        <v>0</v>
      </c>
      <c r="P72" s="7">
        <f t="shared" si="1"/>
        <v>5030860</v>
      </c>
      <c r="R72" s="24">
        <v>1</v>
      </c>
    </row>
    <row r="73" spans="1:18" ht="41.4" hidden="1" x14ac:dyDescent="0.3">
      <c r="A73" s="3" t="s">
        <v>161</v>
      </c>
      <c r="B73" s="3" t="s">
        <v>118</v>
      </c>
      <c r="C73" s="3" t="s">
        <v>23</v>
      </c>
      <c r="D73" s="9" t="s">
        <v>119</v>
      </c>
      <c r="E73" s="10">
        <f>F73+I73</f>
        <v>1931860</v>
      </c>
      <c r="F73" s="11">
        <v>1931860</v>
      </c>
      <c r="G73" s="11">
        <v>1524750</v>
      </c>
      <c r="H73" s="11">
        <v>57400</v>
      </c>
      <c r="I73" s="11">
        <v>0</v>
      </c>
      <c r="J73" s="10">
        <f>L73+O73</f>
        <v>0</v>
      </c>
      <c r="K73" s="11">
        <v>0</v>
      </c>
      <c r="L73" s="11">
        <v>0</v>
      </c>
      <c r="M73" s="11">
        <v>0</v>
      </c>
      <c r="N73" s="11">
        <v>0</v>
      </c>
      <c r="O73" s="11">
        <v>0</v>
      </c>
      <c r="P73" s="10">
        <f t="shared" si="1"/>
        <v>1931860</v>
      </c>
      <c r="R73" s="24"/>
    </row>
    <row r="74" spans="1:18" hidden="1" x14ac:dyDescent="0.3">
      <c r="A74" s="16" t="s">
        <v>162</v>
      </c>
      <c r="B74" s="16" t="s">
        <v>163</v>
      </c>
      <c r="C74" s="16" t="s">
        <v>26</v>
      </c>
      <c r="D74" s="9" t="s">
        <v>164</v>
      </c>
      <c r="E74" s="10">
        <f>F74+I74</f>
        <v>1100000</v>
      </c>
      <c r="F74" s="11">
        <f>1000000+100000</f>
        <v>1100000</v>
      </c>
      <c r="G74" s="11">
        <v>0</v>
      </c>
      <c r="H74" s="11">
        <v>0</v>
      </c>
      <c r="I74" s="11">
        <v>0</v>
      </c>
      <c r="J74" s="10">
        <f>L74+O74</f>
        <v>0</v>
      </c>
      <c r="K74" s="11">
        <v>0</v>
      </c>
      <c r="L74" s="11">
        <v>0</v>
      </c>
      <c r="M74" s="11">
        <v>0</v>
      </c>
      <c r="N74" s="11">
        <v>0</v>
      </c>
      <c r="O74" s="11">
        <v>0</v>
      </c>
      <c r="P74" s="10">
        <f t="shared" ref="P74" si="20">E74 + J74</f>
        <v>1100000</v>
      </c>
      <c r="R74" s="24"/>
    </row>
    <row r="75" spans="1:18" ht="41.4" x14ac:dyDescent="0.3">
      <c r="A75" s="3">
        <v>3719800</v>
      </c>
      <c r="B75" s="3">
        <v>9800</v>
      </c>
      <c r="C75" s="3" t="s">
        <v>26</v>
      </c>
      <c r="D75" s="9" t="s">
        <v>195</v>
      </c>
      <c r="E75" s="10">
        <f>F75+I75</f>
        <v>1999000</v>
      </c>
      <c r="F75" s="11">
        <f>200000+100000+500000</f>
        <v>800000</v>
      </c>
      <c r="G75" s="11">
        <v>0</v>
      </c>
      <c r="H75" s="11">
        <v>0</v>
      </c>
      <c r="I75" s="11">
        <f>199000+1000000</f>
        <v>1199000</v>
      </c>
      <c r="J75" s="10">
        <f>L75+O75</f>
        <v>0</v>
      </c>
      <c r="K75" s="11">
        <v>0</v>
      </c>
      <c r="L75" s="11">
        <v>0</v>
      </c>
      <c r="M75" s="11">
        <v>0</v>
      </c>
      <c r="N75" s="11">
        <v>0</v>
      </c>
      <c r="O75" s="11">
        <v>0</v>
      </c>
      <c r="P75" s="10">
        <f t="shared" si="1"/>
        <v>1999000</v>
      </c>
      <c r="R75" s="24">
        <v>1</v>
      </c>
    </row>
    <row r="76" spans="1:18" x14ac:dyDescent="0.3">
      <c r="A76" s="12" t="s">
        <v>166</v>
      </c>
      <c r="B76" s="12" t="s">
        <v>166</v>
      </c>
      <c r="C76" s="12" t="s">
        <v>166</v>
      </c>
      <c r="D76" s="13" t="s">
        <v>165</v>
      </c>
      <c r="E76" s="7">
        <f>E20+E51+E72</f>
        <v>299624947</v>
      </c>
      <c r="F76" s="7">
        <f>F20+F51+F72</f>
        <v>285723247</v>
      </c>
      <c r="G76" s="7">
        <f t="shared" ref="G76:O76" si="21">G20+G51+G72</f>
        <v>176541038</v>
      </c>
      <c r="H76" s="7">
        <f t="shared" si="21"/>
        <v>26412734</v>
      </c>
      <c r="I76" s="7">
        <f t="shared" si="21"/>
        <v>13901700</v>
      </c>
      <c r="J76" s="7">
        <f t="shared" si="21"/>
        <v>4439200</v>
      </c>
      <c r="K76" s="7">
        <f t="shared" si="21"/>
        <v>2309200</v>
      </c>
      <c r="L76" s="7">
        <f t="shared" si="21"/>
        <v>2130000</v>
      </c>
      <c r="M76" s="7">
        <f t="shared" si="21"/>
        <v>150000</v>
      </c>
      <c r="N76" s="7">
        <f t="shared" si="21"/>
        <v>0</v>
      </c>
      <c r="O76" s="7">
        <f t="shared" si="21"/>
        <v>2309200</v>
      </c>
      <c r="P76" s="7">
        <f t="shared" si="1"/>
        <v>304064147</v>
      </c>
      <c r="R76" s="24">
        <v>1</v>
      </c>
    </row>
    <row r="78" spans="1:18" x14ac:dyDescent="0.3">
      <c r="A78" s="28"/>
      <c r="B78" s="28"/>
      <c r="C78" s="28"/>
      <c r="D78" s="28"/>
      <c r="E78" s="28"/>
      <c r="F78" s="28"/>
      <c r="G78" s="28"/>
      <c r="H78" s="28"/>
      <c r="I78" s="28"/>
      <c r="J78" s="28"/>
      <c r="K78" s="28"/>
      <c r="L78" s="28"/>
      <c r="M78" s="28"/>
      <c r="N78" s="28"/>
      <c r="O78" s="28"/>
      <c r="P78" s="28"/>
    </row>
    <row r="79" spans="1:18" s="35" customFormat="1" ht="18" x14ac:dyDescent="0.35">
      <c r="C79" s="36" t="s">
        <v>169</v>
      </c>
      <c r="D79" s="36"/>
      <c r="J79" s="36"/>
      <c r="K79" s="36"/>
      <c r="M79" s="37" t="s">
        <v>176</v>
      </c>
      <c r="N79" s="37"/>
    </row>
    <row r="82" spans="4:16" hidden="1" x14ac:dyDescent="0.3">
      <c r="D82" s="21" t="s">
        <v>190</v>
      </c>
      <c r="E82" s="20">
        <v>171387830</v>
      </c>
      <c r="F82" s="20">
        <v>162987830</v>
      </c>
      <c r="G82" s="20">
        <v>85063618</v>
      </c>
      <c r="H82" s="20">
        <v>23843734</v>
      </c>
      <c r="I82" s="20">
        <v>8400000</v>
      </c>
      <c r="J82" s="20">
        <v>3254700</v>
      </c>
      <c r="K82" s="20">
        <v>1124700</v>
      </c>
      <c r="L82" s="20">
        <v>2075000</v>
      </c>
      <c r="M82" s="20">
        <v>150000</v>
      </c>
      <c r="N82" s="20">
        <v>0</v>
      </c>
      <c r="O82" s="20">
        <v>1179700</v>
      </c>
      <c r="P82" s="20">
        <v>174642530</v>
      </c>
    </row>
    <row r="83" spans="4:16" hidden="1" x14ac:dyDescent="0.3">
      <c r="E83" s="19">
        <f>E76-E82</f>
        <v>128237117</v>
      </c>
      <c r="F83" s="19">
        <f>F76-F82</f>
        <v>122735417</v>
      </c>
      <c r="G83" s="19">
        <f>G76-G82</f>
        <v>91477420</v>
      </c>
      <c r="H83" s="19">
        <f>H76-H82</f>
        <v>2569000</v>
      </c>
      <c r="I83" s="19">
        <f>I76-I82</f>
        <v>5501700</v>
      </c>
      <c r="J83" s="19">
        <f>J76-J82</f>
        <v>1184500</v>
      </c>
      <c r="K83" s="19">
        <f>K76-K82</f>
        <v>1184500</v>
      </c>
      <c r="L83" s="19">
        <f>L76-L82</f>
        <v>55000</v>
      </c>
      <c r="M83" s="19">
        <f>M76-M82</f>
        <v>0</v>
      </c>
      <c r="N83" s="19">
        <f>N76-N82</f>
        <v>0</v>
      </c>
      <c r="O83" s="19">
        <f>O76-O82</f>
        <v>1129500</v>
      </c>
      <c r="P83" s="19">
        <f>P76-P82</f>
        <v>129421617</v>
      </c>
    </row>
    <row r="84" spans="4:16" hidden="1" x14ac:dyDescent="0.3"/>
    <row r="85" spans="4:16" hidden="1" x14ac:dyDescent="0.3"/>
    <row r="86" spans="4:16" hidden="1" x14ac:dyDescent="0.3">
      <c r="D86" t="s">
        <v>189</v>
      </c>
      <c r="E86" s="20">
        <v>120967517</v>
      </c>
      <c r="F86" s="20">
        <v>117269190.16</v>
      </c>
      <c r="G86" s="20">
        <v>90657745</v>
      </c>
      <c r="H86" s="20">
        <v>469000</v>
      </c>
      <c r="I86" s="20">
        <v>3698326.84</v>
      </c>
      <c r="J86" s="21">
        <v>120000</v>
      </c>
      <c r="K86" s="21">
        <v>0</v>
      </c>
      <c r="L86" s="20">
        <v>55000</v>
      </c>
      <c r="M86" s="21">
        <v>0</v>
      </c>
      <c r="N86" s="21">
        <v>0</v>
      </c>
      <c r="O86" s="20">
        <v>-55000</v>
      </c>
      <c r="P86" s="20">
        <v>121087517</v>
      </c>
    </row>
    <row r="87" spans="4:16" hidden="1" x14ac:dyDescent="0.3">
      <c r="E87" s="22">
        <f>E86-E83</f>
        <v>-7269600</v>
      </c>
      <c r="F87" s="22">
        <f t="shared" ref="F87:P87" si="22">F86-F83</f>
        <v>-5466226.8400000036</v>
      </c>
      <c r="G87" s="22">
        <f t="shared" si="22"/>
        <v>-819675</v>
      </c>
      <c r="H87" s="22">
        <f t="shared" si="22"/>
        <v>-2100000</v>
      </c>
      <c r="I87" s="22">
        <f t="shared" si="22"/>
        <v>-1803373.1600000001</v>
      </c>
      <c r="J87" s="22">
        <f t="shared" si="22"/>
        <v>-1064500</v>
      </c>
      <c r="K87" s="22">
        <f t="shared" si="22"/>
        <v>-1184500</v>
      </c>
      <c r="L87" s="22">
        <f t="shared" si="22"/>
        <v>0</v>
      </c>
      <c r="M87" s="22">
        <f t="shared" si="22"/>
        <v>0</v>
      </c>
      <c r="N87" s="22">
        <f t="shared" si="22"/>
        <v>0</v>
      </c>
      <c r="O87" s="22">
        <f t="shared" si="22"/>
        <v>-1184500</v>
      </c>
      <c r="P87" s="22">
        <f t="shared" si="22"/>
        <v>-8334100</v>
      </c>
    </row>
    <row r="88" spans="4:16" hidden="1" x14ac:dyDescent="0.3"/>
    <row r="89" spans="4:16" hidden="1" x14ac:dyDescent="0.3"/>
    <row r="90" spans="4:16" hidden="1" x14ac:dyDescent="0.3"/>
  </sheetData>
  <autoFilter ref="A18:R76">
    <filterColumn colId="17">
      <customFilters>
        <customFilter operator="notEqual" val=" "/>
      </customFilters>
    </filterColumn>
  </autoFilter>
  <mergeCells count="29">
    <mergeCell ref="O7:P7"/>
    <mergeCell ref="O8:P8"/>
    <mergeCell ref="O9:P9"/>
    <mergeCell ref="C79:D79"/>
    <mergeCell ref="A10:P10"/>
    <mergeCell ref="A11:P11"/>
    <mergeCell ref="A14:A17"/>
    <mergeCell ref="B14:B17"/>
    <mergeCell ref="C14:C17"/>
    <mergeCell ref="D14:D17"/>
    <mergeCell ref="E14:I14"/>
    <mergeCell ref="E15:E17"/>
    <mergeCell ref="F15:F17"/>
    <mergeCell ref="G15:H15"/>
    <mergeCell ref="O15:O17"/>
    <mergeCell ref="P14:P17"/>
    <mergeCell ref="J14:O14"/>
    <mergeCell ref="J15:J17"/>
    <mergeCell ref="K15:K17"/>
    <mergeCell ref="L15:L17"/>
    <mergeCell ref="M15:N15"/>
    <mergeCell ref="M16:M17"/>
    <mergeCell ref="N16:N17"/>
    <mergeCell ref="J79:K79"/>
    <mergeCell ref="A78:P78"/>
    <mergeCell ref="G16:G17"/>
    <mergeCell ref="H16:H17"/>
    <mergeCell ref="I15:I17"/>
    <mergeCell ref="M79:N79"/>
  </mergeCells>
  <pageMargins left="0.19685039370078741" right="0.19685039370078741" top="0.78740157480314965" bottom="0.19685039370078741"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Аркуш1</vt:lpstr>
      <vt:lpstr>Аркуш1!Заголовки_для_печати</vt:lpstr>
      <vt:lpstr>Аркуш1!Область_печати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2026-05-21T11:31:42Z</cp:lastPrinted>
  <dcterms:created xsi:type="dcterms:W3CDTF">2025-12-18T06:46:29Z</dcterms:created>
  <dcterms:modified xsi:type="dcterms:W3CDTF">2026-05-21T11:32:06Z</dcterms:modified>
</cp:coreProperties>
</file>