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256" windowHeight="13176"/>
  </bookViews>
  <sheets>
    <sheet name="Аркуш1" sheetId="1" r:id="rId1"/>
  </sheets>
  <definedNames>
    <definedName name="_xlnm._FilterDatabase" localSheetId="0" hidden="1">Аркуш1!$A$18:$R$86</definedName>
    <definedName name="_xlnm.Print_Titles" localSheetId="0">Аркуш1!$14:$18</definedName>
    <definedName name="_xlnm.Print_Area" localSheetId="0">Аркуш1!$A$1:$P$91</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5" i="1" l="1"/>
  <c r="F65" i="1"/>
  <c r="I35" i="1" l="1"/>
  <c r="I85" i="1" l="1"/>
  <c r="F85" i="1"/>
  <c r="F34" i="1" l="1"/>
  <c r="I36" i="1" l="1"/>
  <c r="F22" i="1"/>
  <c r="F84" i="1" l="1"/>
  <c r="H82" i="1"/>
  <c r="F76" i="1"/>
  <c r="J74" i="1"/>
  <c r="E74" i="1"/>
  <c r="F58" i="1"/>
  <c r="F55" i="1"/>
  <c r="F48" i="1"/>
  <c r="F41" i="1"/>
  <c r="E38" i="1"/>
  <c r="J38" i="1"/>
  <c r="F25" i="1"/>
  <c r="F23" i="1"/>
  <c r="I23" i="1"/>
  <c r="J66" i="1"/>
  <c r="E66" i="1"/>
  <c r="F54" i="1"/>
  <c r="J67" i="1"/>
  <c r="J65" i="1"/>
  <c r="E67" i="1"/>
  <c r="E65" i="1"/>
  <c r="G62" i="1"/>
  <c r="F62" i="1"/>
  <c r="G56" i="1"/>
  <c r="F56" i="1"/>
  <c r="P66" i="1" l="1"/>
  <c r="P67" i="1"/>
  <c r="P38" i="1"/>
  <c r="P74" i="1"/>
  <c r="J83" i="1"/>
  <c r="E83" i="1"/>
  <c r="F52" i="1"/>
  <c r="J78" i="1"/>
  <c r="H78" i="1"/>
  <c r="G78" i="1"/>
  <c r="F78" i="1"/>
  <c r="E78" i="1"/>
  <c r="P78" i="1" s="1"/>
  <c r="J70" i="1"/>
  <c r="E70" i="1"/>
  <c r="J71" i="1"/>
  <c r="E71" i="1"/>
  <c r="P83" i="1" l="1"/>
  <c r="P70" i="1"/>
  <c r="P71" i="1"/>
  <c r="G82" i="1"/>
  <c r="F82" i="1"/>
  <c r="F75" i="1"/>
  <c r="F60" i="1"/>
  <c r="I58" i="1"/>
  <c r="I55" i="1"/>
  <c r="I54" i="1"/>
  <c r="F53" i="1"/>
  <c r="F45" i="1"/>
  <c r="G21" i="1"/>
  <c r="F21" i="1"/>
  <c r="H29" i="1"/>
  <c r="F29" i="1"/>
  <c r="F73" i="1"/>
  <c r="G58" i="1"/>
  <c r="G57" i="1"/>
  <c r="F57" i="1"/>
  <c r="G54" i="1"/>
  <c r="G30" i="1"/>
  <c r="F30" i="1"/>
  <c r="G29" i="1"/>
  <c r="J69" i="1" l="1"/>
  <c r="J68" i="1"/>
  <c r="E69" i="1"/>
  <c r="E68" i="1"/>
  <c r="P69" i="1" l="1"/>
  <c r="P68" i="1"/>
  <c r="H76" i="1" l="1"/>
  <c r="H75" i="1"/>
  <c r="H54" i="1"/>
  <c r="H55" i="1"/>
  <c r="F33" i="1" l="1"/>
  <c r="F40" i="1"/>
  <c r="F24" i="1"/>
  <c r="F61" i="1" l="1"/>
  <c r="G59" i="1"/>
  <c r="F59" i="1"/>
  <c r="H61" i="1"/>
  <c r="J63" i="1"/>
  <c r="E63" i="1"/>
  <c r="H30" i="1"/>
  <c r="J64" i="1"/>
  <c r="E64" i="1"/>
  <c r="P64" i="1" l="1"/>
  <c r="P63" i="1"/>
  <c r="H53" i="1"/>
  <c r="F47" i="1" l="1"/>
  <c r="J31" i="1" l="1"/>
  <c r="E31" i="1"/>
  <c r="F32" i="1"/>
  <c r="P31" i="1" l="1"/>
  <c r="J26" i="1" l="1"/>
  <c r="E26" i="1"/>
  <c r="J84" i="1"/>
  <c r="F81" i="1"/>
  <c r="O81" i="1"/>
  <c r="N81" i="1"/>
  <c r="M81" i="1"/>
  <c r="L81" i="1"/>
  <c r="K81" i="1"/>
  <c r="I81" i="1"/>
  <c r="H81" i="1"/>
  <c r="G81" i="1"/>
  <c r="O52" i="1"/>
  <c r="N52" i="1"/>
  <c r="M52" i="1"/>
  <c r="L52" i="1"/>
  <c r="K52" i="1"/>
  <c r="G52" i="1"/>
  <c r="N20" i="1"/>
  <c r="M20" i="1"/>
  <c r="L20" i="1"/>
  <c r="O49" i="1"/>
  <c r="J49" i="1" s="1"/>
  <c r="E49" i="1"/>
  <c r="O50" i="1"/>
  <c r="J50" i="1" s="1"/>
  <c r="J48" i="1"/>
  <c r="E48" i="1"/>
  <c r="H46" i="1"/>
  <c r="F46" i="1"/>
  <c r="F37" i="1"/>
  <c r="O36" i="1"/>
  <c r="K36" i="1"/>
  <c r="K20" i="1" s="1"/>
  <c r="H36" i="1"/>
  <c r="F36" i="1"/>
  <c r="I20" i="1"/>
  <c r="H58" i="1"/>
  <c r="H52" i="1" s="1"/>
  <c r="I57" i="1"/>
  <c r="I52" i="1" s="1"/>
  <c r="H21" i="1"/>
  <c r="E84" i="1" l="1"/>
  <c r="H20" i="1"/>
  <c r="O20" i="1"/>
  <c r="G20" i="1"/>
  <c r="P84" i="1"/>
  <c r="F20" i="1"/>
  <c r="F86" i="1" s="1"/>
  <c r="P48" i="1"/>
  <c r="P26" i="1"/>
  <c r="P49" i="1"/>
  <c r="P65" i="1" l="1"/>
  <c r="J72" i="1"/>
  <c r="J62" i="1"/>
  <c r="E72" i="1"/>
  <c r="P72" i="1" l="1"/>
  <c r="N86" i="1"/>
  <c r="N95" i="1" s="1"/>
  <c r="M86" i="1"/>
  <c r="M95" i="1" s="1"/>
  <c r="J85" i="1"/>
  <c r="J82" i="1"/>
  <c r="J79" i="1"/>
  <c r="J77" i="1"/>
  <c r="J75" i="1"/>
  <c r="J73" i="1"/>
  <c r="J61" i="1"/>
  <c r="J60" i="1"/>
  <c r="J59" i="1"/>
  <c r="J58" i="1"/>
  <c r="J57" i="1"/>
  <c r="J56" i="1"/>
  <c r="J55" i="1"/>
  <c r="J54" i="1"/>
  <c r="J53" i="1"/>
  <c r="E73" i="1"/>
  <c r="J81" i="1" l="1"/>
  <c r="J80" i="1" s="1"/>
  <c r="P73" i="1"/>
  <c r="J52" i="1"/>
  <c r="J51" i="1" s="1"/>
  <c r="N51" i="1"/>
  <c r="M51" i="1"/>
  <c r="K51" i="1"/>
  <c r="E62" i="1"/>
  <c r="P62" i="1" s="1"/>
  <c r="O80" i="1"/>
  <c r="N80" i="1"/>
  <c r="M80" i="1"/>
  <c r="L80" i="1"/>
  <c r="K80" i="1"/>
  <c r="O51" i="1"/>
  <c r="L51" i="1"/>
  <c r="E56" i="1"/>
  <c r="P56" i="1" s="1"/>
  <c r="N19" i="1" l="1"/>
  <c r="M19" i="1"/>
  <c r="O86" i="1"/>
  <c r="L86" i="1"/>
  <c r="L95" i="1" s="1"/>
  <c r="K86" i="1"/>
  <c r="K95" i="1" s="1"/>
  <c r="J47" i="1"/>
  <c r="J46" i="1"/>
  <c r="J45" i="1"/>
  <c r="J44" i="1"/>
  <c r="J43" i="1"/>
  <c r="J42" i="1"/>
  <c r="J41" i="1"/>
  <c r="J40" i="1"/>
  <c r="J39" i="1"/>
  <c r="J37" i="1"/>
  <c r="J36" i="1"/>
  <c r="J35" i="1"/>
  <c r="J34" i="1"/>
  <c r="J33" i="1"/>
  <c r="J32" i="1"/>
  <c r="J30" i="1"/>
  <c r="J29" i="1"/>
  <c r="J28" i="1"/>
  <c r="J27" i="1"/>
  <c r="J25" i="1"/>
  <c r="J24" i="1"/>
  <c r="J23" i="1"/>
  <c r="J22" i="1"/>
  <c r="J21" i="1"/>
  <c r="H80" i="1"/>
  <c r="G80" i="1"/>
  <c r="F80" i="1"/>
  <c r="I51" i="1"/>
  <c r="H51" i="1"/>
  <c r="G51" i="1"/>
  <c r="F51" i="1"/>
  <c r="I86" i="1"/>
  <c r="I95" i="1" s="1"/>
  <c r="H86" i="1"/>
  <c r="H95" i="1" s="1"/>
  <c r="G86" i="1"/>
  <c r="G95" i="1" s="1"/>
  <c r="F95" i="1"/>
  <c r="E85" i="1"/>
  <c r="E82" i="1"/>
  <c r="E79" i="1"/>
  <c r="E77" i="1"/>
  <c r="E76" i="1"/>
  <c r="E75" i="1"/>
  <c r="E61" i="1"/>
  <c r="E60" i="1"/>
  <c r="E59" i="1"/>
  <c r="E58" i="1"/>
  <c r="E57" i="1"/>
  <c r="E55" i="1"/>
  <c r="E54" i="1"/>
  <c r="E53" i="1"/>
  <c r="E50" i="1"/>
  <c r="E47" i="1"/>
  <c r="E46" i="1"/>
  <c r="E45" i="1"/>
  <c r="E44" i="1"/>
  <c r="E43" i="1"/>
  <c r="E42" i="1"/>
  <c r="E41" i="1"/>
  <c r="E40" i="1"/>
  <c r="E39" i="1"/>
  <c r="E37" i="1"/>
  <c r="E36" i="1"/>
  <c r="E35" i="1"/>
  <c r="E34" i="1"/>
  <c r="E33" i="1"/>
  <c r="E32" i="1"/>
  <c r="E30" i="1"/>
  <c r="E29" i="1"/>
  <c r="E28" i="1"/>
  <c r="E27" i="1"/>
  <c r="E25" i="1"/>
  <c r="E24" i="1"/>
  <c r="E23" i="1"/>
  <c r="E22" i="1"/>
  <c r="E21" i="1"/>
  <c r="E81" i="1" l="1"/>
  <c r="E80" i="1" s="1"/>
  <c r="P80" i="1" s="1"/>
  <c r="E20" i="1"/>
  <c r="J20" i="1"/>
  <c r="J86" i="1" s="1"/>
  <c r="J95" i="1" s="1"/>
  <c r="E52" i="1"/>
  <c r="P52" i="1" s="1"/>
  <c r="L19" i="1"/>
  <c r="H19" i="1"/>
  <c r="O95" i="1"/>
  <c r="O19" i="1"/>
  <c r="K19" i="1"/>
  <c r="G19" i="1"/>
  <c r="F19" i="1"/>
  <c r="I19" i="1"/>
  <c r="P85" i="1"/>
  <c r="P82" i="1"/>
  <c r="P79" i="1"/>
  <c r="P77" i="1"/>
  <c r="P76" i="1"/>
  <c r="P75" i="1"/>
  <c r="P61" i="1"/>
  <c r="P60" i="1"/>
  <c r="P59" i="1"/>
  <c r="P58" i="1"/>
  <c r="P57" i="1"/>
  <c r="P55" i="1"/>
  <c r="P54" i="1"/>
  <c r="P53" i="1"/>
  <c r="P50" i="1"/>
  <c r="P47" i="1"/>
  <c r="P46" i="1"/>
  <c r="P45" i="1"/>
  <c r="P44" i="1"/>
  <c r="P43" i="1"/>
  <c r="P42" i="1"/>
  <c r="P41" i="1"/>
  <c r="P40" i="1"/>
  <c r="P39" i="1"/>
  <c r="P37" i="1"/>
  <c r="P36" i="1"/>
  <c r="P35" i="1"/>
  <c r="P34" i="1"/>
  <c r="P33" i="1"/>
  <c r="P32" i="1"/>
  <c r="P30" i="1"/>
  <c r="P29" i="1"/>
  <c r="P28" i="1"/>
  <c r="P27" i="1"/>
  <c r="P25" i="1"/>
  <c r="P24" i="1"/>
  <c r="P23" i="1"/>
  <c r="P22" i="1"/>
  <c r="P21" i="1"/>
  <c r="E86" i="1" l="1"/>
  <c r="P86" i="1" s="1"/>
  <c r="P95" i="1" s="1"/>
  <c r="P81" i="1"/>
  <c r="E51" i="1"/>
  <c r="P51" i="1" s="1"/>
  <c r="J19" i="1"/>
  <c r="E19" i="1"/>
  <c r="P20" i="1"/>
  <c r="P19" i="1" l="1"/>
  <c r="E95" i="1"/>
</calcChain>
</file>

<file path=xl/sharedStrings.xml><?xml version="1.0" encoding="utf-8"?>
<sst xmlns="http://schemas.openxmlformats.org/spreadsheetml/2006/main" count="280" uniqueCount="227">
  <si>
    <t>РОЗПОДІЛ</t>
  </si>
  <si>
    <t>0754900000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</si>
  <si>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</si>
  <si>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</si>
  <si>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</si>
  <si>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</si>
  <si>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</si>
  <si>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</si>
  <si>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</si>
  <si>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</si>
  <si>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</si>
  <si>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</si>
  <si>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</si>
  <si>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</si>
  <si>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</si>
  <si>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</si>
  <si>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</si>
  <si>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</si>
  <si>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</si>
  <si>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</si>
  <si>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</si>
  <si>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</si>
  <si>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</si>
  <si>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</si>
  <si>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</si>
  <si>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0110180</t>
  </si>
  <si>
    <t>0180</t>
  </si>
  <si>
    <t>0133</t>
  </si>
  <si>
    <t>Інша діяльність у сфері державного управління</t>
  </si>
  <si>
    <t>0112010</t>
  </si>
  <si>
    <t>2010</t>
  </si>
  <si>
    <t>0731</t>
  </si>
  <si>
    <t>Багатопрофільна стаціонарна медична допомога населенню</t>
  </si>
  <si>
    <t>0112111</t>
  </si>
  <si>
    <t>2111</t>
  </si>
  <si>
    <t>0726</t>
  </si>
  <si>
    <t>Первинна медична допомога населенню, що надається центрами первинної медичної (медико-санітарної) допомоги</t>
  </si>
  <si>
    <t>0112152</t>
  </si>
  <si>
    <t>2152</t>
  </si>
  <si>
    <t>0763</t>
  </si>
  <si>
    <t>Інші програми та заходи у сфері охорони здоров`я</t>
  </si>
  <si>
    <t>0113032</t>
  </si>
  <si>
    <t>3032</t>
  </si>
  <si>
    <t>1070</t>
  </si>
  <si>
    <t>Надання пільг окремим категоріям громадян з оплати послуг зв`язку</t>
  </si>
  <si>
    <t>0113035</t>
  </si>
  <si>
    <t>3035</t>
  </si>
  <si>
    <t>Компенсаційні виплати за пільговий проїзд окремих категорій громадян на залізничному транспорті</t>
  </si>
  <si>
    <t>0113104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</si>
  <si>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</si>
  <si>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</si>
  <si>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</si>
  <si>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0113105</t>
  </si>
  <si>
    <t>3105</t>
  </si>
  <si>
    <t>1010</t>
  </si>
  <si>
    <t>Надання реабілітаційних послуг особам з інвалідністю та дітям з інвалідністю</t>
  </si>
  <si>
    <t>0113114</t>
  </si>
  <si>
    <t>3114</t>
  </si>
  <si>
    <t>1040</t>
  </si>
  <si>
    <t>Забезпечення умов для догляду та виховання дітей і молоді в дитячих будинках сімейного типу, прийомних сім`ях та сім`ях патронатних вихователів</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</si>
  <si>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</si>
  <si>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</si>
  <si>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</si>
  <si>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0113242</t>
  </si>
  <si>
    <t>3242</t>
  </si>
  <si>
    <t>1090</t>
  </si>
  <si>
    <t>Інші заходи у сфері соціального захисту і соціального забезпечення</t>
  </si>
  <si>
    <t>0116020</t>
  </si>
  <si>
    <t>6020</t>
  </si>
  <si>
    <t>0620</t>
  </si>
  <si>
    <t>Забезпечення функціонування підприємств, установ та організацій, що виробляють, виконують та/або надають житлово-комунальні послуги</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</si>
  <si>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</si>
  <si>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</si>
  <si>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</si>
  <si>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</si>
  <si>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</si>
  <si>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</si>
  <si>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</si>
  <si>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</si>
  <si>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</si>
  <si>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</si>
  <si>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</si>
  <si>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0117461</t>
  </si>
  <si>
    <t>7461</t>
  </si>
  <si>
    <t>0456</t>
  </si>
  <si>
    <t>Утримання та розвиток автомобільних доріг та дорожньої інфраструктури за рахунок коштів місцевого бюджету</t>
  </si>
  <si>
    <t>0117622</t>
  </si>
  <si>
    <t>7622</t>
  </si>
  <si>
    <t>0470</t>
  </si>
  <si>
    <t>Реалізація програм і заходів в галузі туризму та курортів</t>
  </si>
  <si>
    <t>0117650</t>
  </si>
  <si>
    <t>7650</t>
  </si>
  <si>
    <t>0490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</si>
  <si>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</si>
  <si>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</si>
  <si>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</si>
  <si>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</si>
  <si>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0117693</t>
  </si>
  <si>
    <t>7693</t>
  </si>
  <si>
    <t>Інші заходи, пов`язані з економічною діяльністю</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</si>
  <si>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</si>
  <si>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</si>
  <si>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</si>
  <si>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0118110</t>
  </si>
  <si>
    <t>8110</t>
  </si>
  <si>
    <t>0320</t>
  </si>
  <si>
    <t>Заходи із запобігання та ліквідації надзвичайних ситуацій та наслідків стихійного лиха</t>
  </si>
  <si>
    <t>0118220</t>
  </si>
  <si>
    <t>8220</t>
  </si>
  <si>
    <t>0380</t>
  </si>
  <si>
    <t>Заходи та роботи з мобілізаційної підготовки місцевого значення</t>
  </si>
  <si>
    <t>0118340</t>
  </si>
  <si>
    <t>8340</t>
  </si>
  <si>
    <t>0540</t>
  </si>
  <si>
    <t>Природоохоронні заходи за рахунок цільових фондів</t>
  </si>
  <si>
    <t>0600000</t>
  </si>
  <si>
    <t>0610000</t>
  </si>
  <si>
    <t>0610160</t>
  </si>
  <si>
    <t>0160</t>
  </si>
  <si>
    <t>Керівництво і управління у відповідній сфері у містах (місті Києві), селищах, селах, територіальних громадах</t>
  </si>
  <si>
    <t>0611010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</si>
  <si>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</si>
  <si>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</si>
  <si>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</si>
  <si>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</si>
  <si>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</si>
  <si>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</si>
  <si>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0611070</t>
  </si>
  <si>
    <t>0960</t>
  </si>
  <si>
    <t>Надання позашкільної освіти закладами позашкільної освіти, заходи із позашкільної роботи з дітьми</t>
  </si>
  <si>
    <t>0611080</t>
  </si>
  <si>
    <t>1080</t>
  </si>
  <si>
    <t>Надання спеціалізованої освіти мистецькими школами</t>
  </si>
  <si>
    <t>0611141</t>
  </si>
  <si>
    <t>1141</t>
  </si>
  <si>
    <t>0990</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</si>
  <si>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</si>
  <si>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</si>
  <si>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</si>
  <si>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</si>
  <si>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</si>
  <si>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</si>
  <si>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</si>
  <si>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</si>
  <si>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</si>
  <si>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</si>
  <si>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</si>
  <si>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</si>
  <si>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</si>
  <si>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</si>
  <si>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</si>
  <si>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</si>
  <si>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</si>
  <si>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</si>
  <si>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</si>
  <si>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0615031</t>
  </si>
  <si>
    <t>5031</t>
  </si>
  <si>
    <t>0810</t>
  </si>
  <si>
    <t>Розвиток здібностей у дітей та молоді з фізичної культури та спорту комунальними дитячо- юнацькими спортивними школами</t>
  </si>
  <si>
    <t>3700000</t>
  </si>
  <si>
    <t>3710000</t>
  </si>
  <si>
    <t>3710160</t>
  </si>
  <si>
    <t>3719770</t>
  </si>
  <si>
    <t>9770</t>
  </si>
  <si>
    <t>Інші субвенції з місцевого бюджету</t>
  </si>
  <si>
    <t>УСЬОГО</t>
  </si>
  <si>
    <t>X</t>
  </si>
  <si>
    <t>видатків бюджету Рахівської міської територіальної громади на 2026 рік</t>
  </si>
  <si>
    <t>до рішення міської ради</t>
  </si>
  <si>
    <t>Секретар ради</t>
  </si>
  <si>
    <t>Рахiвська мiська рада (головний розпорядник)</t>
  </si>
  <si>
    <t>Рахiвська мiська рада (відповідальний виконавець)</t>
  </si>
  <si>
    <t>Відділ освіти,культури,молоді та спорту Рахівської міської ради (головний розпорядник)</t>
  </si>
  <si>
    <t>Відділ освіти, культури, молоді та спорту Рахівської міської ради (відповідальний виконавець)</t>
  </si>
  <si>
    <t>Фінансовий відділ Рахівської міської ради (головний розпорядник)</t>
  </si>
  <si>
    <t>Фінансовий відділ Рахівської міської ради (відповідальний виконавець)</t>
  </si>
  <si>
    <t>Євген МОЛНАР</t>
  </si>
  <si>
    <t>0611031</t>
  </si>
  <si>
    <t>1031</t>
  </si>
  <si>
    <t>Надання загальної середньої освіти закладами загальної середньої освіти за рахунок освітньої субвенції</t>
  </si>
  <si>
    <t>Забезпечення діяльності інклюзивно-ресурсних центрів за рахунок освітньої субвенції</t>
  </si>
  <si>
    <t>О611152</t>
  </si>
  <si>
    <t>О990</t>
  </si>
  <si>
    <t>О611702</t>
  </si>
  <si>
    <t>Забезпечення харчуванням учнів закладів загальної середньої освіти за рахунок субвенції з державного бюджету місцевим бюджетам</t>
  </si>
  <si>
    <t>О611600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</si>
  <si>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</si>
  <si>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О611200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</si>
  <si>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</si>
  <si>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На 2026 рік</t>
  </si>
  <si>
    <t>Заходи та роботи з територіальної оборони</t>
  </si>
  <si>
    <t>0118240</t>
  </si>
  <si>
    <t>0118831</t>
  </si>
  <si>
    <t>Надання довгострокових кредитів індивідуальним забудовникам житла на селі</t>
  </si>
  <si>
    <t>Субвенція з місцевого бюджету державному бюджету на виконання програм соціально-економічного розвитку регіонів</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</si>
  <si>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</si>
  <si>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Друк</t>
  </si>
  <si>
    <t>0113112</t>
  </si>
  <si>
    <t>Заходи державної політики з питань дітей та їх соціального захисту</t>
  </si>
  <si>
    <t>O611184</t>
  </si>
  <si>
    <t>O990</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</si>
  <si>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</si>
  <si>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</si>
  <si>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</si>
  <si>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Додаток 3</t>
  </si>
  <si>
    <t>0611275</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</si>
  <si>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</si>
  <si>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</si>
  <si>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О611276</t>
  </si>
  <si>
    <t>0611292</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</si>
  <si>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</si>
  <si>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0611291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</si>
  <si>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</si>
  <si>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Субвенція з місцевого бюджету на підготовку та реалізацію публічних інвестиційних проектів/програм публічних інвестицій</t>
  </si>
  <si>
    <t>0619720</t>
  </si>
  <si>
    <t>Інші дотації з місцевого бюджету</t>
  </si>
  <si>
    <t>О611232</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</si>
  <si>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</si>
  <si>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</si>
  <si>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О112170</t>
  </si>
  <si>
    <t>О116096</t>
  </si>
  <si>
    <t>О640</t>
  </si>
  <si>
    <t>Реалізація Комплексних планів стійкості регіонів та окремих міст</t>
  </si>
  <si>
    <t>О613242</t>
  </si>
  <si>
    <t>О611231</t>
  </si>
  <si>
    <t>88-ї сесії 8-го скликання</t>
  </si>
  <si>
    <t>від 22.09.2026р №1385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</si>
</sst>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quot;-&quot;"/>
    <numFmt numFmtId="165" formatCode="#,##0.00_ ;\-#,##0.00\ "/>
  </numFmts>
  <fonts count="12"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0"/>
      <name val="Calibri"/>
      <family val="2"/>
      <charset val="204"/>
      <scheme val="minor"/>
    </font>
    <font>
      <sz val="10"/>
      <color rgb="FFFF0000"/>
      <name val="Calibri"/>
      <family val="2"/>
      <charset val="204"/>
      <scheme val="minor"/>
    </font>
    <font>
      <sz val="10"/>
      <color theme="1"/>
      <name val="Calibri"/>
      <family val="2"/>
      <charset val="204"/>
      <scheme val="minor"/>
    </font>
    <font>
      <sz val="10"/>
      <name val="Helv"/>
      <charset val="204"/>
    </font>
    <font>
      <sz val="10"/>
      <color rgb="FF333333"/>
      <name val="Calibri"/>
      <family val="2"/>
      <charset val="204"/>
      <scheme val="minor"/>
    </font>
    <font>
      <sz val="12"/>
      <color theme="1"/>
      <name val="Calibri"/>
      <family val="2"/>
      <charset val="204"/>
      <scheme val="minor"/>
    </font>
    <font>
      <b/>
      <sz val="14"/>
      <color theme="1"/>
      <name val="Times New Roman"/>
      <family val="1"/>
      <charset val="204"/>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8" fillId="0" borderId="0"/>
  </cellStyleXfs>
  <cellXfs count="49">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1" xfId="0" applyBorder="1" applyAlignment="1">
      <alignment horizontal="center" vertical="center" wrapText="1"/>
    </xf>
    <xf numFmtId="164" fontId="1" fillId="3" borderId="1" xfId="0" applyNumberFormat="1" applyFont="1" applyFill="1" applyBorder="1" applyAlignment="1">
      <alignment vertical="center"/>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5" fillId="0" borderId="1" xfId="0" quotePrefix="1" applyFont="1" applyBorder="1" applyAlignment="1">
      <alignment vertical="center" wrapText="1"/>
    </xf>
    <xf numFmtId="165" fontId="6" fillId="0" borderId="0" xfId="0" applyNumberFormat="1" applyFont="1"/>
    <xf numFmtId="4" fontId="1" fillId="0" borderId="0" xfId="0" applyNumberFormat="1" applyFont="1"/>
    <xf numFmtId="0" fontId="1" fillId="0" borderId="0" xfId="0" applyFont="1"/>
    <xf numFmtId="0" fontId="0" fillId="0" borderId="1" xfId="0" quotePrefix="1" applyBorder="1" applyAlignment="1">
      <alignment horizontal="center" vertical="center" wrapText="1"/>
    </xf>
    <xf numFmtId="3" fontId="0" fillId="0" borderId="0" xfId="0" applyNumberFormat="1"/>
    <xf numFmtId="3" fontId="0" fillId="0" borderId="2" xfId="0" applyNumberFormat="1" applyFill="1"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4" fontId="0" fillId="0" borderId="0" xfId="0" applyNumberFormat="1"/>
    <xf numFmtId="164" fontId="7" fillId="2" borderId="1" xfId="0" applyNumberFormat="1" applyFont="1" applyFill="1" applyBorder="1" applyAlignment="1">
      <alignment vertical="center"/>
    </xf>
    <xf numFmtId="164" fontId="7" fillId="0" borderId="1" xfId="0" applyNumberFormat="1" applyFont="1" applyBorder="1" applyAlignment="1">
      <alignment vertical="center"/>
    </xf>
    <xf numFmtId="49" fontId="5" fillId="0" borderId="3" xfId="1" applyNumberFormat="1" applyFont="1" applyBorder="1" applyAlignment="1">
      <alignment horizontal="center" vertical="center" wrapText="1"/>
    </xf>
    <xf numFmtId="0" fontId="5" fillId="0" borderId="3" xfId="1" applyFont="1" applyBorder="1" applyAlignment="1">
      <alignment horizontal="center" vertical="center" wrapText="1"/>
    </xf>
    <xf numFmtId="0" fontId="9" fillId="0" borderId="0" xfId="0" applyFont="1" applyAlignment="1">
      <alignment wrapText="1"/>
    </xf>
    <xf numFmtId="0" fontId="0" fillId="0" borderId="1" xfId="0" applyBorder="1" applyAlignment="1">
      <alignment horizontal="center" vertical="center" wrapText="1"/>
    </xf>
    <xf numFmtId="0" fontId="5" fillId="0" borderId="1" xfId="0" quotePrefix="1" applyFont="1" applyBorder="1" applyAlignment="1">
      <alignment horizontal="center" vertical="center" wrapText="1"/>
    </xf>
    <xf numFmtId="0" fontId="0" fillId="0" borderId="1" xfId="0" applyBorder="1" applyAlignment="1">
      <alignment horizontal="center" vertical="center" wrapText="1"/>
    </xf>
    <xf numFmtId="3" fontId="0" fillId="0" borderId="0" xfId="0" applyNumberFormat="1" applyFill="1" applyBorder="1" applyAlignment="1">
      <alignment vertical="center"/>
    </xf>
    <xf numFmtId="0" fontId="10" fillId="0" borderId="0" xfId="0" applyFont="1"/>
    <xf numFmtId="0" fontId="10" fillId="0" borderId="0" xfId="0" applyFont="1" applyAlignment="1">
      <alignment horizontal="right"/>
    </xf>
    <xf numFmtId="0" fontId="11" fillId="0" borderId="0" xfId="0" applyFont="1"/>
    <xf numFmtId="0" fontId="10" fillId="0" borderId="0" xfId="0" applyFont="1" applyAlignment="1">
      <alignment horizontal="right"/>
    </xf>
    <xf numFmtId="0" fontId="11" fillId="0" borderId="0" xfId="0" applyFont="1" applyAlignment="1">
      <alignment horizontal="left"/>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4" fillId="0" borderId="0" xfId="0" applyFont="1" applyAlignment="1">
      <alignment horizontal="center"/>
    </xf>
    <xf numFmtId="0" fontId="11" fillId="0" borderId="0" xfId="0" applyFont="1" applyAlignment="1">
      <alignment horizontal="center"/>
    </xf>
  </cellXfs>
  <cellStyles count="2">
    <cellStyle name="Обычный" xfId="0" builtinId="0"/>
    <cellStyle name="Обычный_Додатки 3,5,6 на 2021 рік для ОТГ"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6:R98"/>
  <sheetViews>
    <sheetView tabSelected="1" zoomScale="55" zoomScaleNormal="55" workbookViewId="0">
      <selection activeCell="O12" sqref="O12"/>
    </sheetView>
  </sheetViews>
  <sheetFormatPr defaultRowHeight="13.8" x14ac:dyDescent="0.3"/>
  <cols>
    <col min="1" max="3" width="12" customWidth="1"/>
    <col min="4" max="4" width="40.6640625" customWidth="1"/>
    <col min="5" max="16" width="15.6640625" customWidth="1"/>
  </cols>
  <sheetData>
    <row r="6" spans="1:16" ht="15.6" x14ac:dyDescent="0.3">
      <c r="O6" s="37"/>
      <c r="P6" s="38" t="s">
        <v>204</v>
      </c>
    </row>
    <row r="7" spans="1:16" ht="15.6" x14ac:dyDescent="0.3">
      <c r="O7" s="40" t="s">
        <v>168</v>
      </c>
      <c r="P7" s="40"/>
    </row>
    <row r="8" spans="1:16" ht="15.6" x14ac:dyDescent="0.3">
      <c r="O8" s="40" t="s">
        <v>225</v>
      </c>
      <c r="P8" s="40"/>
    </row>
    <row r="9" spans="1:16" ht="15.6" x14ac:dyDescent="0.3">
      <c r="O9" s="40" t="s">
        <v>226</v>
      </c>
      <c r="P9" s="40"/>
    </row>
    <row r="10" spans="1:16" x14ac:dyDescent="0.3">
      <c r="A10" s="42" t="s">
        <v>0</v>
      </c>
      <c r="B10" s="43"/>
      <c r="C10" s="43"/>
      <c r="D10" s="43"/>
      <c r="E10" s="43"/>
      <c r="F10" s="43"/>
      <c r="G10" s="43"/>
      <c r="H10" s="43"/>
      <c r="I10" s="43"/>
      <c r="J10" s="43"/>
      <c r="K10" s="43"/>
      <c r="L10" s="43"/>
      <c r="M10" s="43"/>
      <c r="N10" s="43"/>
      <c r="O10" s="43"/>
      <c r="P10" s="43"/>
    </row>
    <row r="11" spans="1:16" x14ac:dyDescent="0.3">
      <c r="A11" s="42" t="s">
        <v>167</v>
      </c>
      <c r="B11" s="43"/>
      <c r="C11" s="43"/>
      <c r="D11" s="43"/>
      <c r="E11" s="43"/>
      <c r="F11" s="43"/>
      <c r="G11" s="43"/>
      <c r="H11" s="43"/>
      <c r="I11" s="43"/>
      <c r="J11" s="43"/>
      <c r="K11" s="43"/>
      <c r="L11" s="43"/>
      <c r="M11" s="43"/>
      <c r="N11" s="43"/>
      <c r="O11" s="43"/>
      <c r="P11" s="43"/>
    </row>
    <row r="12" spans="1:16" x14ac:dyDescent="0.3">
      <c r="A12" s="1" t="s">
        <v>1</v>
      </c>
    </row>
    <row r="13" spans="1:16" x14ac:dyDescent="0.3">
      <c r="A13" t="s">
        <v>2</v>
      </c>
      <c r="P13" s="2" t="s">
        <v>3</v>
      </c>
    </row>
    <row r="14" spans="1:16" x14ac:dyDescent="0.3">
      <c r="A14" s="44" t="s">
        <v>4</v>
      </c>
      <c r="B14" s="44" t="s">
        <v>5</v>
      </c>
      <c r="C14" s="44" t="s">
        <v>6</v>
      </c>
      <c r="D14" s="45" t="s">
        <v>7</v>
      </c>
      <c r="E14" s="45" t="s">
        <v>8</v>
      </c>
      <c r="F14" s="45"/>
      <c r="G14" s="45"/>
      <c r="H14" s="45"/>
      <c r="I14" s="45"/>
      <c r="J14" s="45" t="s">
        <v>15</v>
      </c>
      <c r="K14" s="45"/>
      <c r="L14" s="45"/>
      <c r="M14" s="45"/>
      <c r="N14" s="45"/>
      <c r="O14" s="45"/>
      <c r="P14" s="46" t="s">
        <v>17</v>
      </c>
    </row>
    <row r="15" spans="1:16" x14ac:dyDescent="0.3">
      <c r="A15" s="45"/>
      <c r="B15" s="45"/>
      <c r="C15" s="45"/>
      <c r="D15" s="45"/>
      <c r="E15" s="46" t="s">
        <v>9</v>
      </c>
      <c r="F15" s="45" t="s">
        <v>10</v>
      </c>
      <c r="G15" s="45" t="s">
        <v>11</v>
      </c>
      <c r="H15" s="45"/>
      <c r="I15" s="45" t="s">
        <v>14</v>
      </c>
      <c r="J15" s="46" t="s">
        <v>9</v>
      </c>
      <c r="K15" s="45" t="s">
        <v>16</v>
      </c>
      <c r="L15" s="45" t="s">
        <v>10</v>
      </c>
      <c r="M15" s="45" t="s">
        <v>11</v>
      </c>
      <c r="N15" s="45"/>
      <c r="O15" s="45" t="s">
        <v>14</v>
      </c>
      <c r="P15" s="45"/>
    </row>
    <row r="16" spans="1:16" x14ac:dyDescent="0.3">
      <c r="A16" s="45"/>
      <c r="B16" s="45"/>
      <c r="C16" s="45"/>
      <c r="D16" s="45"/>
      <c r="E16" s="45"/>
      <c r="F16" s="45"/>
      <c r="G16" s="45" t="s">
        <v>12</v>
      </c>
      <c r="H16" s="45" t="s">
        <v>13</v>
      </c>
      <c r="I16" s="45"/>
      <c r="J16" s="45"/>
      <c r="K16" s="45"/>
      <c r="L16" s="45"/>
      <c r="M16" s="45" t="s">
        <v>12</v>
      </c>
      <c r="N16" s="45" t="s">
        <v>13</v>
      </c>
      <c r="O16" s="45"/>
      <c r="P16" s="45"/>
    </row>
    <row r="17" spans="1:18" ht="44.25" customHeight="1" x14ac:dyDescent="0.3">
      <c r="A17" s="45"/>
      <c r="B17" s="45"/>
      <c r="C17" s="45"/>
      <c r="D17" s="45"/>
      <c r="E17" s="45"/>
      <c r="F17" s="45"/>
      <c r="G17" s="45"/>
      <c r="H17" s="45"/>
      <c r="I17" s="45"/>
      <c r="J17" s="45"/>
      <c r="K17" s="45"/>
      <c r="L17" s="45"/>
      <c r="M17" s="45"/>
      <c r="N17" s="45"/>
      <c r="O17" s="45"/>
      <c r="P17" s="45"/>
      <c r="R17" t="s">
        <v>196</v>
      </c>
    </row>
    <row r="18" spans="1:18" x14ac:dyDescent="0.3">
      <c r="A18" s="3">
        <v>1</v>
      </c>
      <c r="B18" s="3">
        <v>2</v>
      </c>
      <c r="C18" s="3">
        <v>3</v>
      </c>
      <c r="D18" s="3">
        <v>4</v>
      </c>
      <c r="E18" s="4">
        <v>5</v>
      </c>
      <c r="F18" s="3">
        <v>6</v>
      </c>
      <c r="G18" s="3">
        <v>7</v>
      </c>
      <c r="H18" s="3">
        <v>8</v>
      </c>
      <c r="I18" s="3">
        <v>9</v>
      </c>
      <c r="J18" s="4">
        <v>10</v>
      </c>
      <c r="K18" s="3">
        <v>11</v>
      </c>
      <c r="L18" s="3">
        <v>12</v>
      </c>
      <c r="M18" s="3">
        <v>13</v>
      </c>
      <c r="N18" s="3">
        <v>14</v>
      </c>
      <c r="O18" s="3">
        <v>15</v>
      </c>
      <c r="P18" s="4">
        <v>16</v>
      </c>
    </row>
    <row r="19" spans="1:18" x14ac:dyDescent="0.3">
      <c r="A19" s="5" t="s">
        <v>18</v>
      </c>
      <c r="B19" s="5" t="s">
        <v>19</v>
      </c>
      <c r="C19" s="5" t="s">
        <v>19</v>
      </c>
      <c r="D19" s="6" t="s">
        <v>170</v>
      </c>
      <c r="E19" s="7">
        <f t="shared" ref="E19:O19" si="0">E20</f>
        <v>82685830</v>
      </c>
      <c r="F19" s="8">
        <f t="shared" si="0"/>
        <v>68418502.650000006</v>
      </c>
      <c r="G19" s="8">
        <f t="shared" si="0"/>
        <v>30330868</v>
      </c>
      <c r="H19" s="8">
        <f t="shared" si="0"/>
        <v>3248884</v>
      </c>
      <c r="I19" s="8">
        <f t="shared" si="0"/>
        <v>14267327.35</v>
      </c>
      <c r="J19" s="7">
        <f t="shared" si="0"/>
        <v>1204200</v>
      </c>
      <c r="K19" s="8">
        <f t="shared" si="0"/>
        <v>1124700</v>
      </c>
      <c r="L19" s="8">
        <f t="shared" si="0"/>
        <v>79500</v>
      </c>
      <c r="M19" s="8">
        <f t="shared" si="0"/>
        <v>0</v>
      </c>
      <c r="N19" s="8">
        <f t="shared" si="0"/>
        <v>0</v>
      </c>
      <c r="O19" s="8">
        <f t="shared" si="0"/>
        <v>1124700</v>
      </c>
      <c r="P19" s="7">
        <f t="shared" ref="P19:P86" si="1">E19 + J19</f>
        <v>83890030</v>
      </c>
      <c r="R19" s="23">
        <v>1</v>
      </c>
    </row>
    <row r="20" spans="1:18" ht="27.6" x14ac:dyDescent="0.3">
      <c r="A20" s="5" t="s">
        <v>20</v>
      </c>
      <c r="B20" s="5" t="s">
        <v>19</v>
      </c>
      <c r="C20" s="5" t="s">
        <v>19</v>
      </c>
      <c r="D20" s="6" t="s">
        <v>171</v>
      </c>
      <c r="E20" s="7">
        <f>SUM(E21:E50)</f>
        <v>82685830</v>
      </c>
      <c r="F20" s="8">
        <f t="shared" ref="F20:O20" si="2">SUM(F21:F50)</f>
        <v>68418502.650000006</v>
      </c>
      <c r="G20" s="8">
        <f t="shared" si="2"/>
        <v>30330868</v>
      </c>
      <c r="H20" s="8">
        <f t="shared" si="2"/>
        <v>3248884</v>
      </c>
      <c r="I20" s="8">
        <f t="shared" si="2"/>
        <v>14267327.35</v>
      </c>
      <c r="J20" s="7">
        <f t="shared" si="2"/>
        <v>1204200</v>
      </c>
      <c r="K20" s="8">
        <f t="shared" si="2"/>
        <v>1124700</v>
      </c>
      <c r="L20" s="8">
        <f t="shared" si="2"/>
        <v>79500</v>
      </c>
      <c r="M20" s="8">
        <f t="shared" si="2"/>
        <v>0</v>
      </c>
      <c r="N20" s="8">
        <f t="shared" si="2"/>
        <v>0</v>
      </c>
      <c r="O20" s="8">
        <f t="shared" si="2"/>
        <v>1124700</v>
      </c>
      <c r="P20" s="7">
        <f t="shared" si="1"/>
        <v>83890030</v>
      </c>
      <c r="R20" s="23">
        <v>1</v>
      </c>
    </row>
    <row r="21" spans="1:18" ht="69" hidden="1" x14ac:dyDescent="0.3">
      <c r="A21" s="3" t="s">
        <v>21</v>
      </c>
      <c r="B21" s="3" t="s">
        <v>22</v>
      </c>
      <c r="C21" s="3" t="s">
        <v>23</v>
      </c>
      <c r="D21" s="9" t="s">
        <v>24</v>
      </c>
      <c r="E21" s="10">
        <f t="shared" ref="E21:E50" si="3">F21+I21</f>
        <v>31351800</v>
      </c>
      <c r="F21" s="11">
        <f>30206000+325000+200800+305000+49400+100000+250600-85000</f>
        <v>31351800</v>
      </c>
      <c r="G21" s="11">
        <f>22700000-69670</f>
        <v>22630330</v>
      </c>
      <c r="H21" s="11">
        <f>1252000+100000</f>
        <v>1352000</v>
      </c>
      <c r="I21" s="11">
        <v>0</v>
      </c>
      <c r="J21" s="10">
        <f>L21+O21</f>
        <v>24500</v>
      </c>
      <c r="K21" s="11">
        <v>0</v>
      </c>
      <c r="L21" s="11">
        <v>24500</v>
      </c>
      <c r="M21" s="11">
        <v>0</v>
      </c>
      <c r="N21" s="11">
        <v>0</v>
      </c>
      <c r="O21" s="11">
        <v>0</v>
      </c>
      <c r="P21" s="10">
        <f t="shared" si="1"/>
        <v>31376300</v>
      </c>
      <c r="R21" s="23"/>
    </row>
    <row r="22" spans="1:18" x14ac:dyDescent="0.3">
      <c r="A22" s="3" t="s">
        <v>25</v>
      </c>
      <c r="B22" s="3" t="s">
        <v>26</v>
      </c>
      <c r="C22" s="3" t="s">
        <v>27</v>
      </c>
      <c r="D22" s="9" t="s">
        <v>28</v>
      </c>
      <c r="E22" s="10">
        <f t="shared" si="3"/>
        <v>2061000</v>
      </c>
      <c r="F22" s="11">
        <f>2316000-49000-200000-55000</f>
        <v>2012000</v>
      </c>
      <c r="G22" s="11">
        <v>695260</v>
      </c>
      <c r="H22" s="11">
        <v>26069</v>
      </c>
      <c r="I22" s="11">
        <v>49000</v>
      </c>
      <c r="J22" s="10">
        <f t="shared" ref="J22:J47" si="4">L22+O22</f>
        <v>0</v>
      </c>
      <c r="K22" s="11">
        <v>0</v>
      </c>
      <c r="L22" s="11">
        <v>0</v>
      </c>
      <c r="M22" s="11">
        <v>0</v>
      </c>
      <c r="N22" s="11">
        <v>0</v>
      </c>
      <c r="O22" s="11">
        <v>0</v>
      </c>
      <c r="P22" s="10">
        <f t="shared" si="1"/>
        <v>2061000</v>
      </c>
      <c r="R22" s="23">
        <v>1</v>
      </c>
    </row>
    <row r="23" spans="1:18" ht="27.6" x14ac:dyDescent="0.3">
      <c r="A23" s="3" t="s">
        <v>29</v>
      </c>
      <c r="B23" s="3" t="s">
        <v>30</v>
      </c>
      <c r="C23" s="3" t="s">
        <v>31</v>
      </c>
      <c r="D23" s="9" t="s">
        <v>32</v>
      </c>
      <c r="E23" s="10">
        <f t="shared" si="3"/>
        <v>16369593</v>
      </c>
      <c r="F23" s="11">
        <f>11844593+150000+1000000-200000+250000+67000+300000+485000+1000000+400000+30000+50000+572372.65</f>
        <v>15948965.65</v>
      </c>
      <c r="G23" s="11">
        <v>0</v>
      </c>
      <c r="H23" s="11">
        <v>0</v>
      </c>
      <c r="I23" s="11">
        <f>100000+200000+133000-12372.65</f>
        <v>420627.35</v>
      </c>
      <c r="J23" s="10">
        <f t="shared" si="4"/>
        <v>0</v>
      </c>
      <c r="K23" s="11">
        <v>0</v>
      </c>
      <c r="L23" s="11">
        <v>0</v>
      </c>
      <c r="M23" s="11">
        <v>0</v>
      </c>
      <c r="N23" s="11">
        <v>0</v>
      </c>
      <c r="O23" s="11">
        <v>0</v>
      </c>
      <c r="P23" s="10">
        <f t="shared" si="1"/>
        <v>16369593</v>
      </c>
      <c r="R23" s="24">
        <v>1</v>
      </c>
    </row>
    <row r="24" spans="1:18" ht="41.4" hidden="1" x14ac:dyDescent="0.3">
      <c r="A24" s="3" t="s">
        <v>33</v>
      </c>
      <c r="B24" s="3" t="s">
        <v>34</v>
      </c>
      <c r="C24" s="3" t="s">
        <v>35</v>
      </c>
      <c r="D24" s="9" t="s">
        <v>36</v>
      </c>
      <c r="E24" s="10">
        <f t="shared" si="3"/>
        <v>1799300</v>
      </c>
      <c r="F24" s="11">
        <f>1757300+42000</f>
        <v>1799300</v>
      </c>
      <c r="G24" s="11">
        <v>0</v>
      </c>
      <c r="H24" s="11">
        <v>0</v>
      </c>
      <c r="I24" s="11">
        <v>0</v>
      </c>
      <c r="J24" s="10">
        <f t="shared" si="4"/>
        <v>0</v>
      </c>
      <c r="K24" s="11">
        <v>0</v>
      </c>
      <c r="L24" s="11">
        <v>0</v>
      </c>
      <c r="M24" s="11">
        <v>0</v>
      </c>
      <c r="N24" s="11">
        <v>0</v>
      </c>
      <c r="O24" s="11">
        <v>0</v>
      </c>
      <c r="P24" s="10">
        <f t="shared" si="1"/>
        <v>1799300</v>
      </c>
      <c r="R24" s="23"/>
    </row>
    <row r="25" spans="1:18" ht="27.6" x14ac:dyDescent="0.3">
      <c r="A25" s="3" t="s">
        <v>37</v>
      </c>
      <c r="B25" s="3" t="s">
        <v>38</v>
      </c>
      <c r="C25" s="3" t="s">
        <v>39</v>
      </c>
      <c r="D25" s="9" t="s">
        <v>40</v>
      </c>
      <c r="E25" s="10">
        <f t="shared" si="3"/>
        <v>390000</v>
      </c>
      <c r="F25" s="11">
        <f>550000+100000-260000</f>
        <v>390000</v>
      </c>
      <c r="G25" s="11">
        <v>0</v>
      </c>
      <c r="H25" s="11">
        <v>0</v>
      </c>
      <c r="I25" s="11">
        <v>0</v>
      </c>
      <c r="J25" s="10">
        <f t="shared" si="4"/>
        <v>0</v>
      </c>
      <c r="K25" s="11">
        <v>0</v>
      </c>
      <c r="L25" s="11">
        <v>0</v>
      </c>
      <c r="M25" s="11">
        <v>0</v>
      </c>
      <c r="N25" s="11">
        <v>0</v>
      </c>
      <c r="O25" s="11">
        <v>0</v>
      </c>
      <c r="P25" s="10">
        <f t="shared" si="1"/>
        <v>390000</v>
      </c>
      <c r="R25" s="23">
        <v>1</v>
      </c>
    </row>
    <row r="26" spans="1:18" ht="55.2" hidden="1" x14ac:dyDescent="0.3">
      <c r="A26" s="16" t="s">
        <v>219</v>
      </c>
      <c r="B26" s="16">
        <v>2170</v>
      </c>
      <c r="C26" s="16" t="s">
        <v>39</v>
      </c>
      <c r="D26" s="9" t="s">
        <v>195</v>
      </c>
      <c r="E26" s="10">
        <f t="shared" ref="E26" si="5">F26+I26</f>
        <v>0</v>
      </c>
      <c r="F26" s="11">
        <v>0</v>
      </c>
      <c r="G26" s="11">
        <v>0</v>
      </c>
      <c r="H26" s="11">
        <v>0</v>
      </c>
      <c r="I26" s="11">
        <v>0</v>
      </c>
      <c r="J26" s="10">
        <f t="shared" ref="J26" si="6">L26+O26</f>
        <v>1094700</v>
      </c>
      <c r="K26" s="11">
        <v>1094700</v>
      </c>
      <c r="L26" s="11">
        <v>0</v>
      </c>
      <c r="M26" s="11">
        <v>0</v>
      </c>
      <c r="N26" s="11">
        <v>0</v>
      </c>
      <c r="O26" s="11">
        <v>1094700</v>
      </c>
      <c r="P26" s="10">
        <f t="shared" ref="P26" si="7">E26 + J26</f>
        <v>1094700</v>
      </c>
      <c r="R26" s="23"/>
    </row>
    <row r="27" spans="1:18" ht="27.6" hidden="1" x14ac:dyDescent="0.3">
      <c r="A27" s="3" t="s">
        <v>41</v>
      </c>
      <c r="B27" s="3" t="s">
        <v>42</v>
      </c>
      <c r="C27" s="3" t="s">
        <v>43</v>
      </c>
      <c r="D27" s="9" t="s">
        <v>44</v>
      </c>
      <c r="E27" s="10">
        <f t="shared" si="3"/>
        <v>5000</v>
      </c>
      <c r="F27" s="11">
        <v>5000</v>
      </c>
      <c r="G27" s="11">
        <v>0</v>
      </c>
      <c r="H27" s="11">
        <v>0</v>
      </c>
      <c r="I27" s="11">
        <v>0</v>
      </c>
      <c r="J27" s="10">
        <f t="shared" si="4"/>
        <v>0</v>
      </c>
      <c r="K27" s="11">
        <v>0</v>
      </c>
      <c r="L27" s="11">
        <v>0</v>
      </c>
      <c r="M27" s="11">
        <v>0</v>
      </c>
      <c r="N27" s="11">
        <v>0</v>
      </c>
      <c r="O27" s="11">
        <v>0</v>
      </c>
      <c r="P27" s="10">
        <f t="shared" si="1"/>
        <v>5000</v>
      </c>
      <c r="R27" s="23"/>
    </row>
    <row r="28" spans="1:18" ht="41.4" hidden="1" x14ac:dyDescent="0.3">
      <c r="A28" s="3" t="s">
        <v>45</v>
      </c>
      <c r="B28" s="3" t="s">
        <v>46</v>
      </c>
      <c r="C28" s="3" t="s">
        <v>43</v>
      </c>
      <c r="D28" s="9" t="s">
        <v>47</v>
      </c>
      <c r="E28" s="10">
        <f t="shared" si="3"/>
        <v>80000</v>
      </c>
      <c r="F28" s="11">
        <v>80000</v>
      </c>
      <c r="G28" s="11">
        <v>0</v>
      </c>
      <c r="H28" s="11">
        <v>0</v>
      </c>
      <c r="I28" s="11">
        <v>0</v>
      </c>
      <c r="J28" s="10">
        <f t="shared" si="4"/>
        <v>0</v>
      </c>
      <c r="K28" s="11">
        <v>0</v>
      </c>
      <c r="L28" s="11">
        <v>0</v>
      </c>
      <c r="M28" s="11">
        <v>0</v>
      </c>
      <c r="N28" s="11">
        <v>0</v>
      </c>
      <c r="O28" s="11">
        <v>0</v>
      </c>
      <c r="P28" s="10">
        <f t="shared" si="1"/>
        <v>80000</v>
      </c>
      <c r="R28" s="23"/>
    </row>
    <row r="29" spans="1:18" ht="55.2" hidden="1" x14ac:dyDescent="0.3">
      <c r="A29" s="3" t="s">
        <v>48</v>
      </c>
      <c r="B29" s="3" t="s">
        <v>49</v>
      </c>
      <c r="C29" s="3" t="s">
        <v>50</v>
      </c>
      <c r="D29" s="9" t="s">
        <v>51</v>
      </c>
      <c r="E29" s="10">
        <f t="shared" si="3"/>
        <v>8576500</v>
      </c>
      <c r="F29" s="11">
        <f>5078000+1794000+1578400+126100</f>
        <v>8576500</v>
      </c>
      <c r="G29" s="11">
        <f>2950000+1470500+1293770</f>
        <v>5714270</v>
      </c>
      <c r="H29" s="11">
        <f>180000+126100</f>
        <v>306100</v>
      </c>
      <c r="I29" s="11">
        <v>0</v>
      </c>
      <c r="J29" s="10">
        <f t="shared" si="4"/>
        <v>0</v>
      </c>
      <c r="K29" s="11">
        <v>0</v>
      </c>
      <c r="L29" s="11">
        <v>0</v>
      </c>
      <c r="M29" s="11">
        <v>0</v>
      </c>
      <c r="N29" s="11">
        <v>0</v>
      </c>
      <c r="O29" s="11">
        <v>0</v>
      </c>
      <c r="P29" s="10">
        <f t="shared" si="1"/>
        <v>8576500</v>
      </c>
      <c r="R29" s="23"/>
    </row>
    <row r="30" spans="1:18" ht="27.6" hidden="1" x14ac:dyDescent="0.3">
      <c r="A30" s="3" t="s">
        <v>52</v>
      </c>
      <c r="B30" s="3" t="s">
        <v>53</v>
      </c>
      <c r="C30" s="3" t="s">
        <v>54</v>
      </c>
      <c r="D30" s="9" t="s">
        <v>55</v>
      </c>
      <c r="E30" s="10">
        <f t="shared" si="3"/>
        <v>1871220</v>
      </c>
      <c r="F30" s="11">
        <f>959000+386000+100000+99220+327000</f>
        <v>1871220</v>
      </c>
      <c r="G30" s="11">
        <f>673458+335650+281900</f>
        <v>1291008</v>
      </c>
      <c r="H30" s="11">
        <f>109615+100000</f>
        <v>209615</v>
      </c>
      <c r="I30" s="11">
        <v>0</v>
      </c>
      <c r="J30" s="10">
        <f t="shared" si="4"/>
        <v>0</v>
      </c>
      <c r="K30" s="11">
        <v>0</v>
      </c>
      <c r="L30" s="11">
        <v>0</v>
      </c>
      <c r="M30" s="11">
        <v>0</v>
      </c>
      <c r="N30" s="11">
        <v>0</v>
      </c>
      <c r="O30" s="11">
        <v>0</v>
      </c>
      <c r="P30" s="10">
        <f t="shared" si="1"/>
        <v>1871220</v>
      </c>
      <c r="R30" s="23"/>
    </row>
    <row r="31" spans="1:18" ht="27.6" hidden="1" x14ac:dyDescent="0.3">
      <c r="A31" s="22" t="s">
        <v>197</v>
      </c>
      <c r="B31" s="25">
        <v>3112</v>
      </c>
      <c r="C31" s="25" t="s">
        <v>58</v>
      </c>
      <c r="D31" s="9" t="s">
        <v>198</v>
      </c>
      <c r="E31" s="10">
        <f t="shared" ref="E31" si="8">F31+I31</f>
        <v>40000</v>
      </c>
      <c r="F31" s="11">
        <v>40000</v>
      </c>
      <c r="G31" s="11">
        <v>0</v>
      </c>
      <c r="H31" s="11">
        <v>0</v>
      </c>
      <c r="I31" s="11">
        <v>0</v>
      </c>
      <c r="J31" s="10">
        <f t="shared" ref="J31" si="9">L31+O31</f>
        <v>0</v>
      </c>
      <c r="K31" s="11">
        <v>0</v>
      </c>
      <c r="L31" s="11">
        <v>0</v>
      </c>
      <c r="M31" s="11">
        <v>0</v>
      </c>
      <c r="N31" s="11">
        <v>0</v>
      </c>
      <c r="O31" s="11">
        <v>0</v>
      </c>
      <c r="P31" s="10">
        <f t="shared" ref="P31" si="10">E31 + J31</f>
        <v>40000</v>
      </c>
      <c r="R31" s="23"/>
    </row>
    <row r="32" spans="1:18" ht="55.2" hidden="1" x14ac:dyDescent="0.3">
      <c r="A32" s="3" t="s">
        <v>56</v>
      </c>
      <c r="B32" s="3" t="s">
        <v>57</v>
      </c>
      <c r="C32" s="3" t="s">
        <v>58</v>
      </c>
      <c r="D32" s="9" t="s">
        <v>59</v>
      </c>
      <c r="E32" s="10">
        <f t="shared" si="3"/>
        <v>36000</v>
      </c>
      <c r="F32" s="11">
        <f>76000-40000</f>
        <v>36000</v>
      </c>
      <c r="G32" s="11">
        <v>0</v>
      </c>
      <c r="H32" s="11">
        <v>0</v>
      </c>
      <c r="I32" s="11">
        <v>0</v>
      </c>
      <c r="J32" s="10">
        <f t="shared" si="4"/>
        <v>0</v>
      </c>
      <c r="K32" s="11">
        <v>0</v>
      </c>
      <c r="L32" s="11">
        <v>0</v>
      </c>
      <c r="M32" s="11">
        <v>0</v>
      </c>
      <c r="N32" s="11">
        <v>0</v>
      </c>
      <c r="O32" s="11">
        <v>0</v>
      </c>
      <c r="P32" s="10">
        <f t="shared" si="1"/>
        <v>36000</v>
      </c>
      <c r="R32" s="23"/>
    </row>
    <row r="33" spans="1:18" ht="82.8" hidden="1" x14ac:dyDescent="0.3">
      <c r="A33" s="3" t="s">
        <v>60</v>
      </c>
      <c r="B33" s="3" t="s">
        <v>61</v>
      </c>
      <c r="C33" s="3" t="s">
        <v>54</v>
      </c>
      <c r="D33" s="9" t="s">
        <v>62</v>
      </c>
      <c r="E33" s="10">
        <f t="shared" si="3"/>
        <v>300000</v>
      </c>
      <c r="F33" s="11">
        <f>400000-100000</f>
        <v>300000</v>
      </c>
      <c r="G33" s="11">
        <v>0</v>
      </c>
      <c r="H33" s="11">
        <v>0</v>
      </c>
      <c r="I33" s="11">
        <v>0</v>
      </c>
      <c r="J33" s="10">
        <f t="shared" si="4"/>
        <v>0</v>
      </c>
      <c r="K33" s="11">
        <v>0</v>
      </c>
      <c r="L33" s="11">
        <v>0</v>
      </c>
      <c r="M33" s="11">
        <v>0</v>
      </c>
      <c r="N33" s="11">
        <v>0</v>
      </c>
      <c r="O33" s="11">
        <v>0</v>
      </c>
      <c r="P33" s="10">
        <f t="shared" si="1"/>
        <v>300000</v>
      </c>
      <c r="R33" s="23"/>
    </row>
    <row r="34" spans="1:18" ht="27.6" x14ac:dyDescent="0.3">
      <c r="A34" s="3" t="s">
        <v>63</v>
      </c>
      <c r="B34" s="3" t="s">
        <v>64</v>
      </c>
      <c r="C34" s="3" t="s">
        <v>65</v>
      </c>
      <c r="D34" s="9" t="s">
        <v>66</v>
      </c>
      <c r="E34" s="10">
        <f t="shared" si="3"/>
        <v>1455000</v>
      </c>
      <c r="F34" s="11">
        <f>1500000-45000</f>
        <v>1455000</v>
      </c>
      <c r="G34" s="11">
        <v>0</v>
      </c>
      <c r="H34" s="11">
        <v>0</v>
      </c>
      <c r="I34" s="11">
        <v>0</v>
      </c>
      <c r="J34" s="10">
        <f t="shared" si="4"/>
        <v>0</v>
      </c>
      <c r="K34" s="11">
        <v>0</v>
      </c>
      <c r="L34" s="11">
        <v>0</v>
      </c>
      <c r="M34" s="11">
        <v>0</v>
      </c>
      <c r="N34" s="11">
        <v>0</v>
      </c>
      <c r="O34" s="11">
        <v>0</v>
      </c>
      <c r="P34" s="10">
        <f t="shared" si="1"/>
        <v>1455000</v>
      </c>
      <c r="R34" s="23">
        <v>1</v>
      </c>
    </row>
    <row r="35" spans="1:18" ht="55.2" x14ac:dyDescent="0.3">
      <c r="A35" s="3" t="s">
        <v>67</v>
      </c>
      <c r="B35" s="3" t="s">
        <v>68</v>
      </c>
      <c r="C35" s="3" t="s">
        <v>69</v>
      </c>
      <c r="D35" s="9" t="s">
        <v>70</v>
      </c>
      <c r="E35" s="10">
        <f t="shared" si="3"/>
        <v>12534352</v>
      </c>
      <c r="F35" s="11">
        <v>0</v>
      </c>
      <c r="G35" s="11">
        <v>0</v>
      </c>
      <c r="H35" s="11">
        <v>0</v>
      </c>
      <c r="I35" s="11">
        <f>8400000+600000+550000+400000+100000+279400+20600+500000+514600-10000+10000+500000+450000+300000-80248</f>
        <v>12534352</v>
      </c>
      <c r="J35" s="10">
        <f t="shared" si="4"/>
        <v>0</v>
      </c>
      <c r="K35" s="11">
        <v>0</v>
      </c>
      <c r="L35" s="11">
        <v>0</v>
      </c>
      <c r="M35" s="11">
        <v>0</v>
      </c>
      <c r="N35" s="11">
        <v>0</v>
      </c>
      <c r="O35" s="11">
        <v>0</v>
      </c>
      <c r="P35" s="10">
        <f t="shared" si="1"/>
        <v>12534352</v>
      </c>
      <c r="R35" s="23">
        <v>1</v>
      </c>
    </row>
    <row r="36" spans="1:18" x14ac:dyDescent="0.3">
      <c r="A36" s="3" t="s">
        <v>71</v>
      </c>
      <c r="B36" s="3" t="s">
        <v>72</v>
      </c>
      <c r="C36" s="3" t="s">
        <v>69</v>
      </c>
      <c r="D36" s="9" t="s">
        <v>73</v>
      </c>
      <c r="E36" s="10">
        <f t="shared" si="3"/>
        <v>2169100</v>
      </c>
      <c r="F36" s="11">
        <f>1270000+264000</f>
        <v>1534000</v>
      </c>
      <c r="G36" s="11">
        <v>0</v>
      </c>
      <c r="H36" s="11">
        <f>986100+264000</f>
        <v>1250100</v>
      </c>
      <c r="I36" s="11">
        <f>1094700-514600+55000</f>
        <v>635100</v>
      </c>
      <c r="J36" s="10">
        <f t="shared" si="4"/>
        <v>0</v>
      </c>
      <c r="K36" s="11">
        <f>1094700-1094700</f>
        <v>0</v>
      </c>
      <c r="L36" s="11">
        <v>0</v>
      </c>
      <c r="M36" s="11">
        <v>0</v>
      </c>
      <c r="N36" s="11">
        <v>0</v>
      </c>
      <c r="O36" s="11">
        <f>1094700-1094700</f>
        <v>0</v>
      </c>
      <c r="P36" s="10">
        <f t="shared" si="1"/>
        <v>2169100</v>
      </c>
      <c r="R36" s="23">
        <v>1</v>
      </c>
    </row>
    <row r="37" spans="1:18" ht="124.2" hidden="1" x14ac:dyDescent="0.3">
      <c r="A37" s="3" t="s">
        <v>74</v>
      </c>
      <c r="B37" s="3" t="s">
        <v>75</v>
      </c>
      <c r="C37" s="3" t="s">
        <v>76</v>
      </c>
      <c r="D37" s="9" t="s">
        <v>77</v>
      </c>
      <c r="E37" s="10">
        <f t="shared" si="3"/>
        <v>400000</v>
      </c>
      <c r="F37" s="11">
        <f>400000-400000</f>
        <v>0</v>
      </c>
      <c r="G37" s="11">
        <v>0</v>
      </c>
      <c r="H37" s="11">
        <v>0</v>
      </c>
      <c r="I37" s="11">
        <v>400000</v>
      </c>
      <c r="J37" s="10">
        <f t="shared" si="4"/>
        <v>0</v>
      </c>
      <c r="K37" s="11">
        <v>0</v>
      </c>
      <c r="L37" s="11">
        <v>0</v>
      </c>
      <c r="M37" s="11">
        <v>0</v>
      </c>
      <c r="N37" s="11">
        <v>0</v>
      </c>
      <c r="O37" s="11">
        <v>0</v>
      </c>
      <c r="P37" s="10">
        <f t="shared" si="1"/>
        <v>400000</v>
      </c>
      <c r="R37" s="24"/>
    </row>
    <row r="38" spans="1:18" ht="39" customHeight="1" x14ac:dyDescent="0.3">
      <c r="A38" s="35" t="s">
        <v>220</v>
      </c>
      <c r="B38" s="35">
        <v>6096</v>
      </c>
      <c r="C38" s="35" t="s">
        <v>221</v>
      </c>
      <c r="D38" s="9" t="s">
        <v>222</v>
      </c>
      <c r="E38" s="10">
        <f>F38+I38</f>
        <v>180248</v>
      </c>
      <c r="F38" s="11"/>
      <c r="G38" s="11"/>
      <c r="H38" s="11"/>
      <c r="I38" s="11">
        <v>180248</v>
      </c>
      <c r="J38" s="10">
        <f>L38+O38</f>
        <v>0</v>
      </c>
      <c r="K38" s="11">
        <v>0</v>
      </c>
      <c r="L38" s="11">
        <v>0</v>
      </c>
      <c r="M38" s="11">
        <v>0</v>
      </c>
      <c r="N38" s="11">
        <v>0</v>
      </c>
      <c r="O38" s="11">
        <v>0</v>
      </c>
      <c r="P38" s="10">
        <f>E38+J38</f>
        <v>180248</v>
      </c>
      <c r="R38" s="36">
        <v>1</v>
      </c>
    </row>
    <row r="39" spans="1:18" hidden="1" x14ac:dyDescent="0.3">
      <c r="A39" s="3" t="s">
        <v>78</v>
      </c>
      <c r="B39" s="3" t="s">
        <v>79</v>
      </c>
      <c r="C39" s="3" t="s">
        <v>80</v>
      </c>
      <c r="D39" s="9" t="s">
        <v>81</v>
      </c>
      <c r="E39" s="10">
        <f t="shared" si="3"/>
        <v>600000</v>
      </c>
      <c r="F39" s="11">
        <v>600000</v>
      </c>
      <c r="G39" s="11">
        <v>0</v>
      </c>
      <c r="H39" s="11">
        <v>0</v>
      </c>
      <c r="I39" s="11">
        <v>0</v>
      </c>
      <c r="J39" s="10">
        <f t="shared" si="4"/>
        <v>0</v>
      </c>
      <c r="K39" s="11">
        <v>0</v>
      </c>
      <c r="L39" s="11">
        <v>0</v>
      </c>
      <c r="M39" s="11">
        <v>0</v>
      </c>
      <c r="N39" s="11">
        <v>0</v>
      </c>
      <c r="O39" s="11">
        <v>0</v>
      </c>
      <c r="P39" s="10">
        <f t="shared" si="1"/>
        <v>600000</v>
      </c>
      <c r="R39" s="23"/>
    </row>
    <row r="40" spans="1:18" ht="41.4" hidden="1" x14ac:dyDescent="0.3">
      <c r="A40" s="3" t="s">
        <v>82</v>
      </c>
      <c r="B40" s="3" t="s">
        <v>83</v>
      </c>
      <c r="C40" s="3" t="s">
        <v>84</v>
      </c>
      <c r="D40" s="9" t="s">
        <v>85</v>
      </c>
      <c r="E40" s="10">
        <f t="shared" si="3"/>
        <v>630000</v>
      </c>
      <c r="F40" s="11">
        <f>1000000-370000</f>
        <v>630000</v>
      </c>
      <c r="G40" s="11">
        <v>0</v>
      </c>
      <c r="H40" s="11">
        <v>0</v>
      </c>
      <c r="I40" s="11">
        <v>0</v>
      </c>
      <c r="J40" s="10">
        <f t="shared" si="4"/>
        <v>0</v>
      </c>
      <c r="K40" s="11">
        <v>0</v>
      </c>
      <c r="L40" s="11">
        <v>0</v>
      </c>
      <c r="M40" s="11">
        <v>0</v>
      </c>
      <c r="N40" s="11">
        <v>0</v>
      </c>
      <c r="O40" s="11">
        <v>0</v>
      </c>
      <c r="P40" s="10">
        <f t="shared" si="1"/>
        <v>630000</v>
      </c>
      <c r="R40" s="23"/>
    </row>
    <row r="41" spans="1:18" ht="27.6" x14ac:dyDescent="0.3">
      <c r="A41" s="3" t="s">
        <v>86</v>
      </c>
      <c r="B41" s="3" t="s">
        <v>87</v>
      </c>
      <c r="C41" s="3" t="s">
        <v>88</v>
      </c>
      <c r="D41" s="9" t="s">
        <v>89</v>
      </c>
      <c r="E41" s="10">
        <f t="shared" si="3"/>
        <v>50000</v>
      </c>
      <c r="F41" s="11">
        <f>250000-200000</f>
        <v>50000</v>
      </c>
      <c r="G41" s="11">
        <v>0</v>
      </c>
      <c r="H41" s="11">
        <v>0</v>
      </c>
      <c r="I41" s="11">
        <v>0</v>
      </c>
      <c r="J41" s="10">
        <f t="shared" si="4"/>
        <v>0</v>
      </c>
      <c r="K41" s="11">
        <v>0</v>
      </c>
      <c r="L41" s="11">
        <v>0</v>
      </c>
      <c r="M41" s="11">
        <v>0</v>
      </c>
      <c r="N41" s="11">
        <v>0</v>
      </c>
      <c r="O41" s="11">
        <v>0</v>
      </c>
      <c r="P41" s="10">
        <f t="shared" si="1"/>
        <v>50000</v>
      </c>
      <c r="R41" s="23">
        <v>1</v>
      </c>
    </row>
    <row r="42" spans="1:18" ht="27.6" hidden="1" x14ac:dyDescent="0.3">
      <c r="A42" s="3" t="s">
        <v>90</v>
      </c>
      <c r="B42" s="3" t="s">
        <v>91</v>
      </c>
      <c r="C42" s="3" t="s">
        <v>92</v>
      </c>
      <c r="D42" s="9" t="s">
        <v>93</v>
      </c>
      <c r="E42" s="10">
        <f t="shared" si="3"/>
        <v>0</v>
      </c>
      <c r="F42" s="11">
        <v>0</v>
      </c>
      <c r="G42" s="11">
        <v>0</v>
      </c>
      <c r="H42" s="11">
        <v>0</v>
      </c>
      <c r="I42" s="11">
        <v>0</v>
      </c>
      <c r="J42" s="10">
        <f t="shared" si="4"/>
        <v>30000</v>
      </c>
      <c r="K42" s="11">
        <v>30000</v>
      </c>
      <c r="L42" s="11">
        <v>0</v>
      </c>
      <c r="M42" s="11">
        <v>0</v>
      </c>
      <c r="N42" s="11">
        <v>0</v>
      </c>
      <c r="O42" s="11">
        <v>30000</v>
      </c>
      <c r="P42" s="10">
        <f t="shared" si="1"/>
        <v>30000</v>
      </c>
      <c r="R42" s="23"/>
    </row>
    <row r="43" spans="1:18" ht="27.6" hidden="1" x14ac:dyDescent="0.3">
      <c r="A43" s="3" t="s">
        <v>94</v>
      </c>
      <c r="B43" s="3" t="s">
        <v>95</v>
      </c>
      <c r="C43" s="3" t="s">
        <v>92</v>
      </c>
      <c r="D43" s="9" t="s">
        <v>96</v>
      </c>
      <c r="E43" s="10">
        <f t="shared" si="3"/>
        <v>40000</v>
      </c>
      <c r="F43" s="11">
        <v>40000</v>
      </c>
      <c r="G43" s="11">
        <v>0</v>
      </c>
      <c r="H43" s="11">
        <v>0</v>
      </c>
      <c r="I43" s="11">
        <v>0</v>
      </c>
      <c r="J43" s="10">
        <f t="shared" si="4"/>
        <v>0</v>
      </c>
      <c r="K43" s="11">
        <v>0</v>
      </c>
      <c r="L43" s="11">
        <v>0</v>
      </c>
      <c r="M43" s="11">
        <v>0</v>
      </c>
      <c r="N43" s="11">
        <v>0</v>
      </c>
      <c r="O43" s="11">
        <v>0</v>
      </c>
      <c r="P43" s="10">
        <f t="shared" si="1"/>
        <v>40000</v>
      </c>
      <c r="R43" s="23"/>
    </row>
    <row r="44" spans="1:18" hidden="1" x14ac:dyDescent="0.3">
      <c r="A44" s="3" t="s">
        <v>97</v>
      </c>
      <c r="B44" s="3" t="s">
        <v>98</v>
      </c>
      <c r="C44" s="3" t="s">
        <v>92</v>
      </c>
      <c r="D44" s="9" t="s">
        <v>99</v>
      </c>
      <c r="E44" s="10">
        <f t="shared" si="3"/>
        <v>400000</v>
      </c>
      <c r="F44" s="11">
        <v>400000</v>
      </c>
      <c r="G44" s="11">
        <v>0</v>
      </c>
      <c r="H44" s="11">
        <v>0</v>
      </c>
      <c r="I44" s="11">
        <v>0</v>
      </c>
      <c r="J44" s="10">
        <f t="shared" si="4"/>
        <v>0</v>
      </c>
      <c r="K44" s="11">
        <v>0</v>
      </c>
      <c r="L44" s="11">
        <v>0</v>
      </c>
      <c r="M44" s="11">
        <v>0</v>
      </c>
      <c r="N44" s="11">
        <v>0</v>
      </c>
      <c r="O44" s="11">
        <v>0</v>
      </c>
      <c r="P44" s="10">
        <f t="shared" si="1"/>
        <v>400000</v>
      </c>
      <c r="R44" s="23"/>
    </row>
    <row r="45" spans="1:18" ht="55.2" hidden="1" x14ac:dyDescent="0.3">
      <c r="A45" s="3" t="s">
        <v>100</v>
      </c>
      <c r="B45" s="3" t="s">
        <v>101</v>
      </c>
      <c r="C45" s="3" t="s">
        <v>27</v>
      </c>
      <c r="D45" s="9" t="s">
        <v>102</v>
      </c>
      <c r="E45" s="10">
        <f t="shared" si="3"/>
        <v>0</v>
      </c>
      <c r="F45" s="11">
        <f>2000000-500000-250600-10000-1239400</f>
        <v>0</v>
      </c>
      <c r="G45" s="11">
        <v>0</v>
      </c>
      <c r="H45" s="11">
        <v>0</v>
      </c>
      <c r="I45" s="11">
        <v>0</v>
      </c>
      <c r="J45" s="10">
        <f t="shared" si="4"/>
        <v>0</v>
      </c>
      <c r="K45" s="11">
        <v>0</v>
      </c>
      <c r="L45" s="11">
        <v>0</v>
      </c>
      <c r="M45" s="11">
        <v>0</v>
      </c>
      <c r="N45" s="11">
        <v>0</v>
      </c>
      <c r="O45" s="11">
        <v>0</v>
      </c>
      <c r="P45" s="10">
        <f t="shared" si="1"/>
        <v>0</v>
      </c>
      <c r="R45" s="23"/>
    </row>
    <row r="46" spans="1:18" ht="27.6" hidden="1" x14ac:dyDescent="0.3">
      <c r="A46" s="3" t="s">
        <v>103</v>
      </c>
      <c r="B46" s="3" t="s">
        <v>104</v>
      </c>
      <c r="C46" s="3" t="s">
        <v>105</v>
      </c>
      <c r="D46" s="9" t="s">
        <v>106</v>
      </c>
      <c r="E46" s="10">
        <f t="shared" si="3"/>
        <v>254100</v>
      </c>
      <c r="F46" s="11">
        <f>150000+104100</f>
        <v>254100</v>
      </c>
      <c r="G46" s="11">
        <v>0</v>
      </c>
      <c r="H46" s="11">
        <f>65000+40000</f>
        <v>105000</v>
      </c>
      <c r="I46" s="11">
        <v>0</v>
      </c>
      <c r="J46" s="10">
        <f t="shared" si="4"/>
        <v>0</v>
      </c>
      <c r="K46" s="11">
        <v>0</v>
      </c>
      <c r="L46" s="11">
        <v>0</v>
      </c>
      <c r="M46" s="11">
        <v>0</v>
      </c>
      <c r="N46" s="11">
        <v>0</v>
      </c>
      <c r="O46" s="11">
        <v>0</v>
      </c>
      <c r="P46" s="10">
        <f t="shared" si="1"/>
        <v>254100</v>
      </c>
      <c r="R46" s="23"/>
    </row>
    <row r="47" spans="1:18" ht="27.6" hidden="1" x14ac:dyDescent="0.3">
      <c r="A47" s="3" t="s">
        <v>107</v>
      </c>
      <c r="B47" s="3" t="s">
        <v>108</v>
      </c>
      <c r="C47" s="3" t="s">
        <v>109</v>
      </c>
      <c r="D47" s="9" t="s">
        <v>110</v>
      </c>
      <c r="E47" s="10">
        <f t="shared" si="3"/>
        <v>1092617</v>
      </c>
      <c r="F47" s="11">
        <f>1000000+92617-48000</f>
        <v>1044617</v>
      </c>
      <c r="G47" s="11">
        <v>0</v>
      </c>
      <c r="H47" s="11">
        <v>0</v>
      </c>
      <c r="I47" s="11">
        <v>48000</v>
      </c>
      <c r="J47" s="10">
        <f t="shared" si="4"/>
        <v>0</v>
      </c>
      <c r="K47" s="11">
        <v>0</v>
      </c>
      <c r="L47" s="11">
        <v>0</v>
      </c>
      <c r="M47" s="11">
        <v>0</v>
      </c>
      <c r="N47" s="11">
        <v>0</v>
      </c>
      <c r="O47" s="11">
        <v>0</v>
      </c>
      <c r="P47" s="10">
        <f t="shared" si="1"/>
        <v>1092617</v>
      </c>
      <c r="R47" s="23"/>
    </row>
    <row r="48" spans="1:18" hidden="1" x14ac:dyDescent="0.3">
      <c r="A48" s="22" t="s">
        <v>191</v>
      </c>
      <c r="B48" s="16">
        <v>8240</v>
      </c>
      <c r="C48" s="16" t="s">
        <v>109</v>
      </c>
      <c r="D48" s="9" t="s">
        <v>190</v>
      </c>
      <c r="E48" s="10">
        <f t="shared" ref="E48:E49" si="11">F48+I48</f>
        <v>0</v>
      </c>
      <c r="F48" s="11">
        <f>100000-100000</f>
        <v>0</v>
      </c>
      <c r="G48" s="11">
        <v>0</v>
      </c>
      <c r="H48" s="11">
        <v>0</v>
      </c>
      <c r="I48" s="11">
        <v>0</v>
      </c>
      <c r="J48" s="10">
        <f t="shared" ref="J48:J50" si="12">L48+O48</f>
        <v>0</v>
      </c>
      <c r="K48" s="11">
        <v>0</v>
      </c>
      <c r="L48" s="11">
        <v>0</v>
      </c>
      <c r="M48" s="11">
        <v>0</v>
      </c>
      <c r="N48" s="11">
        <v>0</v>
      </c>
      <c r="O48" s="11">
        <v>0</v>
      </c>
      <c r="P48" s="10">
        <f t="shared" ref="P48:P49" si="13">E48 + J48</f>
        <v>0</v>
      </c>
      <c r="R48" s="23"/>
    </row>
    <row r="49" spans="1:18" ht="27.6" hidden="1" x14ac:dyDescent="0.3">
      <c r="A49" s="16" t="s">
        <v>111</v>
      </c>
      <c r="B49" s="16" t="s">
        <v>112</v>
      </c>
      <c r="C49" s="16" t="s">
        <v>113</v>
      </c>
      <c r="D49" s="9" t="s">
        <v>114</v>
      </c>
      <c r="E49" s="10">
        <f t="shared" si="11"/>
        <v>0</v>
      </c>
      <c r="F49" s="11">
        <v>0</v>
      </c>
      <c r="G49" s="11">
        <v>0</v>
      </c>
      <c r="H49" s="11">
        <v>0</v>
      </c>
      <c r="I49" s="11">
        <v>0</v>
      </c>
      <c r="J49" s="10">
        <f t="shared" si="12"/>
        <v>55000</v>
      </c>
      <c r="K49" s="11">
        <v>0</v>
      </c>
      <c r="L49" s="11">
        <v>55000</v>
      </c>
      <c r="M49" s="11">
        <v>0</v>
      </c>
      <c r="N49" s="11">
        <v>0</v>
      </c>
      <c r="O49" s="11">
        <f>55000-55000</f>
        <v>0</v>
      </c>
      <c r="P49" s="10">
        <f t="shared" si="13"/>
        <v>55000</v>
      </c>
      <c r="R49" s="23"/>
    </row>
    <row r="50" spans="1:18" ht="27.6" hidden="1" x14ac:dyDescent="0.3">
      <c r="A50" s="22" t="s">
        <v>192</v>
      </c>
      <c r="B50" s="3">
        <v>8831</v>
      </c>
      <c r="C50" s="3">
        <v>1060</v>
      </c>
      <c r="D50" s="9" t="s">
        <v>193</v>
      </c>
      <c r="E50" s="10">
        <f t="shared" si="3"/>
        <v>0</v>
      </c>
      <c r="F50" s="11">
        <v>0</v>
      </c>
      <c r="G50" s="11">
        <v>0</v>
      </c>
      <c r="H50" s="11">
        <v>0</v>
      </c>
      <c r="I50" s="11">
        <v>0</v>
      </c>
      <c r="J50" s="10">
        <f t="shared" si="12"/>
        <v>0</v>
      </c>
      <c r="K50" s="11">
        <v>0</v>
      </c>
      <c r="L50" s="11">
        <v>0</v>
      </c>
      <c r="M50" s="11">
        <v>0</v>
      </c>
      <c r="N50" s="11">
        <v>0</v>
      </c>
      <c r="O50" s="11">
        <f>55000-55000</f>
        <v>0</v>
      </c>
      <c r="P50" s="10">
        <f t="shared" si="1"/>
        <v>0</v>
      </c>
      <c r="R50" s="23"/>
    </row>
    <row r="51" spans="1:18" ht="42" customHeight="1" x14ac:dyDescent="0.3">
      <c r="A51" s="5" t="s">
        <v>115</v>
      </c>
      <c r="B51" s="5" t="s">
        <v>19</v>
      </c>
      <c r="C51" s="5" t="s">
        <v>19</v>
      </c>
      <c r="D51" s="6" t="s">
        <v>172</v>
      </c>
      <c r="E51" s="7">
        <f t="shared" ref="E51:O51" si="14">E52</f>
        <v>293191577</v>
      </c>
      <c r="F51" s="8">
        <f t="shared" si="14"/>
        <v>293006577</v>
      </c>
      <c r="G51" s="8">
        <f t="shared" si="14"/>
        <v>199620005</v>
      </c>
      <c r="H51" s="8">
        <f t="shared" si="14"/>
        <v>23232550</v>
      </c>
      <c r="I51" s="8">
        <f t="shared" si="14"/>
        <v>185000</v>
      </c>
      <c r="J51" s="7">
        <f t="shared" si="14"/>
        <v>9565000</v>
      </c>
      <c r="K51" s="8">
        <f t="shared" si="14"/>
        <v>2384500</v>
      </c>
      <c r="L51" s="8">
        <f t="shared" si="14"/>
        <v>2050500</v>
      </c>
      <c r="M51" s="8">
        <f t="shared" si="14"/>
        <v>150000</v>
      </c>
      <c r="N51" s="8">
        <f t="shared" si="14"/>
        <v>0</v>
      </c>
      <c r="O51" s="8">
        <f t="shared" si="14"/>
        <v>7514500</v>
      </c>
      <c r="P51" s="7">
        <f t="shared" si="1"/>
        <v>302756577</v>
      </c>
      <c r="R51" s="23">
        <v>1</v>
      </c>
    </row>
    <row r="52" spans="1:18" ht="41.4" x14ac:dyDescent="0.3">
      <c r="A52" s="5" t="s">
        <v>116</v>
      </c>
      <c r="B52" s="5" t="s">
        <v>19</v>
      </c>
      <c r="C52" s="5" t="s">
        <v>19</v>
      </c>
      <c r="D52" s="6" t="s">
        <v>173</v>
      </c>
      <c r="E52" s="7">
        <f t="shared" ref="E52:O52" si="15">SUM(E53:E79)</f>
        <v>293191577</v>
      </c>
      <c r="F52" s="8">
        <f>SUM(F53:F79)</f>
        <v>293006577</v>
      </c>
      <c r="G52" s="8">
        <f t="shared" si="15"/>
        <v>199620005</v>
      </c>
      <c r="H52" s="8">
        <f t="shared" si="15"/>
        <v>23232550</v>
      </c>
      <c r="I52" s="8">
        <f t="shared" si="15"/>
        <v>185000</v>
      </c>
      <c r="J52" s="7">
        <f t="shared" si="15"/>
        <v>9565000</v>
      </c>
      <c r="K52" s="15">
        <f t="shared" si="15"/>
        <v>2384500</v>
      </c>
      <c r="L52" s="15">
        <f t="shared" si="15"/>
        <v>2050500</v>
      </c>
      <c r="M52" s="15">
        <f t="shared" si="15"/>
        <v>150000</v>
      </c>
      <c r="N52" s="15">
        <f t="shared" si="15"/>
        <v>0</v>
      </c>
      <c r="O52" s="15">
        <f t="shared" si="15"/>
        <v>7514500</v>
      </c>
      <c r="P52" s="7">
        <f t="shared" si="1"/>
        <v>302756577</v>
      </c>
      <c r="R52" s="23">
        <v>1</v>
      </c>
    </row>
    <row r="53" spans="1:18" ht="41.4" hidden="1" x14ac:dyDescent="0.3">
      <c r="A53" s="3" t="s">
        <v>117</v>
      </c>
      <c r="B53" s="3" t="s">
        <v>118</v>
      </c>
      <c r="C53" s="3" t="s">
        <v>23</v>
      </c>
      <c r="D53" s="9" t="s">
        <v>119</v>
      </c>
      <c r="E53" s="10">
        <f t="shared" ref="E53:E79" si="16">F53+I53</f>
        <v>2485650</v>
      </c>
      <c r="F53" s="11">
        <f>2370650+40000+75000</f>
        <v>2485650</v>
      </c>
      <c r="G53" s="11">
        <v>1800000</v>
      </c>
      <c r="H53" s="11">
        <f>114650</f>
        <v>114650</v>
      </c>
      <c r="I53" s="11">
        <v>0</v>
      </c>
      <c r="J53" s="10">
        <f t="shared" ref="J53:J75" si="17">L53+O53</f>
        <v>0</v>
      </c>
      <c r="K53" s="11">
        <v>0</v>
      </c>
      <c r="L53" s="11">
        <v>0</v>
      </c>
      <c r="M53" s="11">
        <v>0</v>
      </c>
      <c r="N53" s="11">
        <v>0</v>
      </c>
      <c r="O53" s="11">
        <v>0</v>
      </c>
      <c r="P53" s="10">
        <f t="shared" si="1"/>
        <v>2485650</v>
      </c>
      <c r="R53" s="23"/>
    </row>
    <row r="54" spans="1:18" ht="25.5" customHeight="1" x14ac:dyDescent="0.3">
      <c r="A54" s="3" t="s">
        <v>120</v>
      </c>
      <c r="B54" s="3" t="s">
        <v>54</v>
      </c>
      <c r="C54" s="3" t="s">
        <v>121</v>
      </c>
      <c r="D54" s="9" t="s">
        <v>122</v>
      </c>
      <c r="E54" s="10">
        <f t="shared" si="16"/>
        <v>37133700</v>
      </c>
      <c r="F54" s="11">
        <f>33275800+50000+525000+1000000-60000+210000+2387900-375000+20000+100000</f>
        <v>37133700</v>
      </c>
      <c r="G54" s="11">
        <f>21400000+819675+1957295</f>
        <v>24176970</v>
      </c>
      <c r="H54" s="11">
        <f>5640500+50000-60000+210000</f>
        <v>5840500</v>
      </c>
      <c r="I54" s="11">
        <f>298600-298600</f>
        <v>0</v>
      </c>
      <c r="J54" s="10">
        <f t="shared" si="17"/>
        <v>1770500</v>
      </c>
      <c r="K54" s="11">
        <v>0</v>
      </c>
      <c r="L54" s="11">
        <v>1770500</v>
      </c>
      <c r="M54" s="11">
        <v>0</v>
      </c>
      <c r="N54" s="11">
        <v>0</v>
      </c>
      <c r="O54" s="11">
        <v>0</v>
      </c>
      <c r="P54" s="10">
        <f t="shared" si="1"/>
        <v>38904200</v>
      </c>
      <c r="R54" s="23">
        <v>1</v>
      </c>
    </row>
    <row r="55" spans="1:18" ht="49.5" customHeight="1" x14ac:dyDescent="0.3">
      <c r="A55" s="3" t="s">
        <v>123</v>
      </c>
      <c r="B55" s="3" t="s">
        <v>124</v>
      </c>
      <c r="C55" s="3" t="s">
        <v>125</v>
      </c>
      <c r="D55" s="9" t="s">
        <v>126</v>
      </c>
      <c r="E55" s="10">
        <f t="shared" si="16"/>
        <v>37588647</v>
      </c>
      <c r="F55" s="11">
        <f>31996800+500000-150000+2241066-31284-255000+1777365+260000+1049700+200000</f>
        <v>37588647</v>
      </c>
      <c r="G55" s="11">
        <v>13100000</v>
      </c>
      <c r="H55" s="11">
        <f>12800000-150000+1973566-255000</f>
        <v>14368566</v>
      </c>
      <c r="I55" s="11">
        <f>124200-124200</f>
        <v>0</v>
      </c>
      <c r="J55" s="10">
        <f t="shared" si="17"/>
        <v>100000</v>
      </c>
      <c r="K55" s="11">
        <v>0</v>
      </c>
      <c r="L55" s="11">
        <v>100000</v>
      </c>
      <c r="M55" s="11">
        <v>0</v>
      </c>
      <c r="N55" s="11">
        <v>0</v>
      </c>
      <c r="O55" s="11">
        <v>0</v>
      </c>
      <c r="P55" s="10">
        <f t="shared" si="1"/>
        <v>37688647</v>
      </c>
      <c r="R55" s="23">
        <v>1</v>
      </c>
    </row>
    <row r="56" spans="1:18" ht="49.5" customHeight="1" x14ac:dyDescent="0.3">
      <c r="A56" s="14" t="s">
        <v>177</v>
      </c>
      <c r="B56" s="14" t="s">
        <v>178</v>
      </c>
      <c r="C56" s="14" t="s">
        <v>125</v>
      </c>
      <c r="D56" s="9" t="s">
        <v>179</v>
      </c>
      <c r="E56" s="10">
        <f t="shared" si="16"/>
        <v>159067800</v>
      </c>
      <c r="F56" s="11">
        <f>97926800+61141000</f>
        <v>159067800</v>
      </c>
      <c r="G56" s="11">
        <f>80266800+50115000</f>
        <v>130381800</v>
      </c>
      <c r="H56" s="11"/>
      <c r="I56" s="11"/>
      <c r="J56" s="10">
        <f t="shared" si="17"/>
        <v>0</v>
      </c>
      <c r="K56" s="11"/>
      <c r="L56" s="11"/>
      <c r="M56" s="11"/>
      <c r="N56" s="11"/>
      <c r="O56" s="11"/>
      <c r="P56" s="10">
        <f t="shared" si="1"/>
        <v>159067800</v>
      </c>
      <c r="R56" s="23">
        <v>1</v>
      </c>
    </row>
    <row r="57" spans="1:18" ht="41.4" hidden="1" x14ac:dyDescent="0.3">
      <c r="A57" s="3" t="s">
        <v>127</v>
      </c>
      <c r="B57" s="3" t="s">
        <v>43</v>
      </c>
      <c r="C57" s="3" t="s">
        <v>128</v>
      </c>
      <c r="D57" s="9" t="s">
        <v>129</v>
      </c>
      <c r="E57" s="10">
        <f t="shared" si="16"/>
        <v>4816200</v>
      </c>
      <c r="F57" s="11">
        <f>4157200+6000+100000+472000</f>
        <v>4735200</v>
      </c>
      <c r="G57" s="11">
        <f>2900000+82000+386885</f>
        <v>3368885</v>
      </c>
      <c r="H57" s="11">
        <v>513100</v>
      </c>
      <c r="I57" s="11">
        <f>81000</f>
        <v>81000</v>
      </c>
      <c r="J57" s="10">
        <f t="shared" si="17"/>
        <v>0</v>
      </c>
      <c r="K57" s="11">
        <v>0</v>
      </c>
      <c r="L57" s="11">
        <v>0</v>
      </c>
      <c r="M57" s="11">
        <v>0</v>
      </c>
      <c r="N57" s="11">
        <v>0</v>
      </c>
      <c r="O57" s="11">
        <v>0</v>
      </c>
      <c r="P57" s="10">
        <f t="shared" si="1"/>
        <v>4816200</v>
      </c>
      <c r="R57" s="23"/>
    </row>
    <row r="58" spans="1:18" ht="27.6" x14ac:dyDescent="0.3">
      <c r="A58" s="3" t="s">
        <v>130</v>
      </c>
      <c r="B58" s="3" t="s">
        <v>131</v>
      </c>
      <c r="C58" s="3" t="s">
        <v>128</v>
      </c>
      <c r="D58" s="9" t="s">
        <v>132</v>
      </c>
      <c r="E58" s="10">
        <f t="shared" si="16"/>
        <v>6101000</v>
      </c>
      <c r="F58" s="11">
        <f>5552000+90000+255500+191000-77500+20000+70000</f>
        <v>6101000</v>
      </c>
      <c r="G58" s="11">
        <f>4231000+156560</f>
        <v>4387560</v>
      </c>
      <c r="H58" s="11">
        <f>277900+90000</f>
        <v>367900</v>
      </c>
      <c r="I58" s="11">
        <f>124200-124200</f>
        <v>0</v>
      </c>
      <c r="J58" s="10">
        <f t="shared" si="17"/>
        <v>180000</v>
      </c>
      <c r="K58" s="11">
        <v>0</v>
      </c>
      <c r="L58" s="11">
        <v>180000</v>
      </c>
      <c r="M58" s="11">
        <v>150000</v>
      </c>
      <c r="N58" s="11">
        <v>0</v>
      </c>
      <c r="O58" s="11">
        <v>0</v>
      </c>
      <c r="P58" s="10">
        <f t="shared" si="1"/>
        <v>6281000</v>
      </c>
      <c r="R58" s="23">
        <v>1</v>
      </c>
    </row>
    <row r="59" spans="1:18" ht="32.25" hidden="1" customHeight="1" x14ac:dyDescent="0.3">
      <c r="A59" s="3" t="s">
        <v>133</v>
      </c>
      <c r="B59" s="3" t="s">
        <v>134</v>
      </c>
      <c r="C59" s="3" t="s">
        <v>135</v>
      </c>
      <c r="D59" s="9" t="s">
        <v>136</v>
      </c>
      <c r="E59" s="10">
        <f t="shared" si="16"/>
        <v>6746800</v>
      </c>
      <c r="F59" s="11">
        <f>6502800+244000</f>
        <v>6746800</v>
      </c>
      <c r="G59" s="11">
        <f>5100000+200000</f>
        <v>5300000</v>
      </c>
      <c r="H59" s="11">
        <v>169500</v>
      </c>
      <c r="I59" s="11">
        <v>0</v>
      </c>
      <c r="J59" s="10">
        <f t="shared" si="17"/>
        <v>0</v>
      </c>
      <c r="K59" s="11">
        <v>0</v>
      </c>
      <c r="L59" s="11">
        <v>0</v>
      </c>
      <c r="M59" s="11">
        <v>0</v>
      </c>
      <c r="N59" s="11">
        <v>0</v>
      </c>
      <c r="O59" s="11">
        <v>0</v>
      </c>
      <c r="P59" s="10">
        <f t="shared" si="1"/>
        <v>6746800</v>
      </c>
      <c r="R59" s="23"/>
    </row>
    <row r="60" spans="1:18" hidden="1" x14ac:dyDescent="0.3">
      <c r="A60" s="3" t="s">
        <v>137</v>
      </c>
      <c r="B60" s="3" t="s">
        <v>138</v>
      </c>
      <c r="C60" s="3" t="s">
        <v>135</v>
      </c>
      <c r="D60" s="9" t="s">
        <v>139</v>
      </c>
      <c r="E60" s="10">
        <f t="shared" si="16"/>
        <v>1552139</v>
      </c>
      <c r="F60" s="11">
        <f>2034320+100000+31284-613465</f>
        <v>1552139</v>
      </c>
      <c r="G60" s="11">
        <v>0</v>
      </c>
      <c r="H60" s="11">
        <v>0</v>
      </c>
      <c r="I60" s="11">
        <v>0</v>
      </c>
      <c r="J60" s="10">
        <f t="shared" si="17"/>
        <v>0</v>
      </c>
      <c r="K60" s="11">
        <v>0</v>
      </c>
      <c r="L60" s="11">
        <v>0</v>
      </c>
      <c r="M60" s="11">
        <v>0</v>
      </c>
      <c r="N60" s="11">
        <v>0</v>
      </c>
      <c r="O60" s="11">
        <v>0</v>
      </c>
      <c r="P60" s="10">
        <f t="shared" si="1"/>
        <v>1552139</v>
      </c>
      <c r="R60" s="23"/>
    </row>
    <row r="61" spans="1:18" ht="33.75" hidden="1" customHeight="1" x14ac:dyDescent="0.3">
      <c r="A61" s="3" t="s">
        <v>140</v>
      </c>
      <c r="B61" s="3" t="s">
        <v>141</v>
      </c>
      <c r="C61" s="3" t="s">
        <v>135</v>
      </c>
      <c r="D61" s="9" t="s">
        <v>142</v>
      </c>
      <c r="E61" s="10">
        <f t="shared" si="16"/>
        <v>334990</v>
      </c>
      <c r="F61" s="11">
        <f>314990+10000+10000</f>
        <v>334990</v>
      </c>
      <c r="G61" s="11">
        <v>104500</v>
      </c>
      <c r="H61" s="11">
        <f>36400+10000+10000</f>
        <v>56400</v>
      </c>
      <c r="I61" s="11">
        <v>0</v>
      </c>
      <c r="J61" s="10">
        <f t="shared" si="17"/>
        <v>0</v>
      </c>
      <c r="K61" s="11">
        <v>0</v>
      </c>
      <c r="L61" s="11">
        <v>0</v>
      </c>
      <c r="M61" s="11">
        <v>0</v>
      </c>
      <c r="N61" s="11">
        <v>0</v>
      </c>
      <c r="O61" s="11">
        <v>0</v>
      </c>
      <c r="P61" s="10">
        <f t="shared" si="1"/>
        <v>334990</v>
      </c>
      <c r="R61" s="23"/>
    </row>
    <row r="62" spans="1:18" ht="33.75" customHeight="1" x14ac:dyDescent="0.3">
      <c r="A62" s="14" t="s">
        <v>181</v>
      </c>
      <c r="B62" s="14">
        <v>1152</v>
      </c>
      <c r="C62" s="14" t="s">
        <v>182</v>
      </c>
      <c r="D62" s="9" t="s">
        <v>180</v>
      </c>
      <c r="E62" s="10">
        <f t="shared" si="16"/>
        <v>2080300</v>
      </c>
      <c r="F62" s="11">
        <f>1372000+708300</f>
        <v>2080300</v>
      </c>
      <c r="G62" s="11">
        <f>1143400+580600</f>
        <v>1724000</v>
      </c>
      <c r="H62" s="11"/>
      <c r="I62" s="11"/>
      <c r="J62" s="10">
        <f t="shared" si="17"/>
        <v>0</v>
      </c>
      <c r="K62" s="11"/>
      <c r="L62" s="11"/>
      <c r="M62" s="11"/>
      <c r="N62" s="11"/>
      <c r="O62" s="11"/>
      <c r="P62" s="10">
        <f t="shared" si="1"/>
        <v>2080300</v>
      </c>
      <c r="R62" s="23">
        <v>1</v>
      </c>
    </row>
    <row r="63" spans="1:18" ht="89.25" hidden="1" customHeight="1" x14ac:dyDescent="0.3">
      <c r="A63" s="26" t="s">
        <v>202</v>
      </c>
      <c r="B63" s="26">
        <v>1183</v>
      </c>
      <c r="C63" s="26" t="s">
        <v>182</v>
      </c>
      <c r="D63" s="9" t="s">
        <v>203</v>
      </c>
      <c r="E63" s="10">
        <f t="shared" si="16"/>
        <v>0</v>
      </c>
      <c r="F63" s="11"/>
      <c r="G63" s="11"/>
      <c r="H63" s="11"/>
      <c r="I63" s="11"/>
      <c r="J63" s="10">
        <f t="shared" si="17"/>
        <v>117800</v>
      </c>
      <c r="K63" s="11">
        <v>117800</v>
      </c>
      <c r="L63" s="11"/>
      <c r="M63" s="11"/>
      <c r="N63" s="11"/>
      <c r="O63" s="11">
        <v>117800</v>
      </c>
      <c r="P63" s="10">
        <f t="shared" si="1"/>
        <v>117800</v>
      </c>
      <c r="R63" s="23"/>
    </row>
    <row r="64" spans="1:18" ht="74.25" hidden="1" customHeight="1" x14ac:dyDescent="0.3">
      <c r="A64" s="26" t="s">
        <v>199</v>
      </c>
      <c r="B64" s="26">
        <v>1184</v>
      </c>
      <c r="C64" s="26" t="s">
        <v>200</v>
      </c>
      <c r="D64" s="9" t="s">
        <v>201</v>
      </c>
      <c r="E64" s="10">
        <f t="shared" si="16"/>
        <v>0</v>
      </c>
      <c r="F64" s="11"/>
      <c r="G64" s="11"/>
      <c r="H64" s="11"/>
      <c r="I64" s="11"/>
      <c r="J64" s="10">
        <f t="shared" si="17"/>
        <v>1066700</v>
      </c>
      <c r="K64" s="11">
        <v>1066700</v>
      </c>
      <c r="L64" s="11"/>
      <c r="M64" s="11"/>
      <c r="N64" s="11"/>
      <c r="O64" s="11">
        <v>1066700</v>
      </c>
      <c r="P64" s="10">
        <f t="shared" si="1"/>
        <v>1066700</v>
      </c>
      <c r="R64" s="23"/>
    </row>
    <row r="65" spans="1:18" ht="81" customHeight="1" x14ac:dyDescent="0.3">
      <c r="A65" s="17" t="s">
        <v>187</v>
      </c>
      <c r="B65" s="17">
        <v>1200</v>
      </c>
      <c r="C65" s="17" t="s">
        <v>182</v>
      </c>
      <c r="D65" s="18" t="s">
        <v>188</v>
      </c>
      <c r="E65" s="10">
        <f>F65+I65</f>
        <v>398500</v>
      </c>
      <c r="F65" s="11">
        <f>215200+183300</f>
        <v>398500</v>
      </c>
      <c r="G65" s="11">
        <f>176395+150245</f>
        <v>326640</v>
      </c>
      <c r="H65" s="11"/>
      <c r="I65" s="11"/>
      <c r="J65" s="10">
        <f>L65+O65</f>
        <v>0</v>
      </c>
      <c r="K65" s="11"/>
      <c r="L65" s="11"/>
      <c r="M65" s="11"/>
      <c r="N65" s="11"/>
      <c r="O65" s="11"/>
      <c r="P65" s="10">
        <f t="shared" si="1"/>
        <v>398500</v>
      </c>
      <c r="R65" s="23">
        <v>1</v>
      </c>
    </row>
    <row r="66" spans="1:18" ht="138.75" customHeight="1" x14ac:dyDescent="0.3">
      <c r="A66" s="17" t="s">
        <v>224</v>
      </c>
      <c r="B66" s="17">
        <v>1231</v>
      </c>
      <c r="C66" s="17" t="s">
        <v>182</v>
      </c>
      <c r="D66" s="18" t="s">
        <v>218</v>
      </c>
      <c r="E66" s="10">
        <f>F66+I66</f>
        <v>0</v>
      </c>
      <c r="F66" s="11"/>
      <c r="G66" s="11"/>
      <c r="H66" s="11"/>
      <c r="I66" s="11"/>
      <c r="J66" s="10">
        <f>L66+O66</f>
        <v>20000</v>
      </c>
      <c r="K66" s="11">
        <v>20000</v>
      </c>
      <c r="L66" s="11"/>
      <c r="M66" s="11"/>
      <c r="N66" s="11"/>
      <c r="O66" s="11">
        <v>20000</v>
      </c>
      <c r="P66" s="10">
        <f t="shared" si="1"/>
        <v>20000</v>
      </c>
      <c r="R66" s="23">
        <v>1</v>
      </c>
    </row>
    <row r="67" spans="1:18" ht="123" customHeight="1" x14ac:dyDescent="0.3">
      <c r="A67" s="17" t="s">
        <v>216</v>
      </c>
      <c r="B67" s="17">
        <v>1232</v>
      </c>
      <c r="C67" s="17" t="s">
        <v>182</v>
      </c>
      <c r="D67" s="18" t="s">
        <v>217</v>
      </c>
      <c r="E67" s="10">
        <f>F67+I67</f>
        <v>0</v>
      </c>
      <c r="F67" s="11"/>
      <c r="G67" s="11"/>
      <c r="H67" s="11"/>
      <c r="I67" s="11"/>
      <c r="J67" s="10">
        <f>L67+O67</f>
        <v>180000</v>
      </c>
      <c r="K67" s="11">
        <v>180000</v>
      </c>
      <c r="L67" s="11"/>
      <c r="M67" s="11"/>
      <c r="N67" s="11"/>
      <c r="O67" s="11">
        <v>180000</v>
      </c>
      <c r="P67" s="10">
        <f t="shared" si="1"/>
        <v>180000</v>
      </c>
      <c r="R67" s="23">
        <v>1</v>
      </c>
    </row>
    <row r="68" spans="1:18" ht="81" hidden="1" customHeight="1" x14ac:dyDescent="0.3">
      <c r="A68" s="30" t="s">
        <v>205</v>
      </c>
      <c r="B68" s="31">
        <v>1275</v>
      </c>
      <c r="C68" s="30" t="s">
        <v>135</v>
      </c>
      <c r="D68" s="32" t="s">
        <v>206</v>
      </c>
      <c r="E68" s="28">
        <f t="shared" si="16"/>
        <v>0</v>
      </c>
      <c r="F68" s="29"/>
      <c r="G68" s="29"/>
      <c r="H68" s="29"/>
      <c r="I68" s="29"/>
      <c r="J68" s="28">
        <f t="shared" si="17"/>
        <v>500000</v>
      </c>
      <c r="K68" s="29">
        <v>500000</v>
      </c>
      <c r="L68" s="29"/>
      <c r="M68" s="29"/>
      <c r="N68" s="29"/>
      <c r="O68" s="29">
        <v>500000</v>
      </c>
      <c r="P68" s="28">
        <f t="shared" si="1"/>
        <v>500000</v>
      </c>
      <c r="R68" s="23"/>
    </row>
    <row r="69" spans="1:18" ht="81" hidden="1" customHeight="1" x14ac:dyDescent="0.3">
      <c r="A69" s="17" t="s">
        <v>208</v>
      </c>
      <c r="B69" s="17">
        <v>1276</v>
      </c>
      <c r="C69" s="17" t="s">
        <v>182</v>
      </c>
      <c r="D69" s="18" t="s">
        <v>207</v>
      </c>
      <c r="E69" s="10">
        <f t="shared" si="16"/>
        <v>0</v>
      </c>
      <c r="F69" s="11"/>
      <c r="G69" s="11"/>
      <c r="H69" s="11"/>
      <c r="I69" s="11"/>
      <c r="J69" s="10">
        <f t="shared" si="17"/>
        <v>4500000</v>
      </c>
      <c r="K69" s="11"/>
      <c r="L69" s="11"/>
      <c r="M69" s="11"/>
      <c r="N69" s="11"/>
      <c r="O69" s="11">
        <v>4500000</v>
      </c>
      <c r="P69" s="10">
        <f t="shared" si="1"/>
        <v>4500000</v>
      </c>
      <c r="R69" s="23"/>
    </row>
    <row r="70" spans="1:18" ht="81" hidden="1" customHeight="1" x14ac:dyDescent="0.3">
      <c r="A70" s="34" t="s">
        <v>211</v>
      </c>
      <c r="B70" s="17">
        <v>1291</v>
      </c>
      <c r="C70" s="17" t="s">
        <v>182</v>
      </c>
      <c r="D70" s="18" t="s">
        <v>212</v>
      </c>
      <c r="E70" s="10">
        <f t="shared" si="16"/>
        <v>70000</v>
      </c>
      <c r="F70" s="11"/>
      <c r="G70" s="11"/>
      <c r="H70" s="11"/>
      <c r="I70" s="11">
        <v>70000</v>
      </c>
      <c r="J70" s="10">
        <f t="shared" si="17"/>
        <v>0</v>
      </c>
      <c r="K70" s="11"/>
      <c r="L70" s="11"/>
      <c r="M70" s="11"/>
      <c r="N70" s="11"/>
      <c r="O70" s="11"/>
      <c r="P70" s="10">
        <f t="shared" si="1"/>
        <v>70000</v>
      </c>
      <c r="R70" s="23"/>
    </row>
    <row r="71" spans="1:18" ht="81" hidden="1" customHeight="1" x14ac:dyDescent="0.3">
      <c r="A71" s="34" t="s">
        <v>209</v>
      </c>
      <c r="B71" s="17">
        <v>1292</v>
      </c>
      <c r="C71" s="17" t="s">
        <v>182</v>
      </c>
      <c r="D71" s="18" t="s">
        <v>210</v>
      </c>
      <c r="E71" s="10">
        <f t="shared" ref="E71" si="18">F71+I71</f>
        <v>0</v>
      </c>
      <c r="F71" s="11"/>
      <c r="G71" s="11"/>
      <c r="H71" s="11"/>
      <c r="I71" s="11"/>
      <c r="J71" s="10">
        <f t="shared" ref="J71" si="19">L71+O71</f>
        <v>630000</v>
      </c>
      <c r="K71" s="11"/>
      <c r="L71" s="11"/>
      <c r="M71" s="11"/>
      <c r="N71" s="11"/>
      <c r="O71" s="11">
        <v>630000</v>
      </c>
      <c r="P71" s="10">
        <f t="shared" ref="P71" si="20">E71 + J71</f>
        <v>630000</v>
      </c>
      <c r="R71" s="23"/>
    </row>
    <row r="72" spans="1:18" ht="48.75" hidden="1" customHeight="1" x14ac:dyDescent="0.3">
      <c r="A72" s="14" t="s">
        <v>185</v>
      </c>
      <c r="B72" s="14">
        <v>1600</v>
      </c>
      <c r="C72" s="14" t="s">
        <v>182</v>
      </c>
      <c r="D72" s="9" t="s">
        <v>186</v>
      </c>
      <c r="E72" s="10">
        <f t="shared" si="16"/>
        <v>8862600</v>
      </c>
      <c r="F72" s="11">
        <v>8862600</v>
      </c>
      <c r="G72" s="11">
        <v>7265000</v>
      </c>
      <c r="H72" s="11"/>
      <c r="I72" s="11"/>
      <c r="J72" s="10">
        <f t="shared" si="17"/>
        <v>0</v>
      </c>
      <c r="K72" s="11"/>
      <c r="L72" s="11"/>
      <c r="M72" s="11"/>
      <c r="N72" s="11"/>
      <c r="O72" s="11"/>
      <c r="P72" s="10">
        <f t="shared" si="1"/>
        <v>8862600</v>
      </c>
      <c r="R72" s="23"/>
    </row>
    <row r="73" spans="1:18" ht="47.25" hidden="1" customHeight="1" x14ac:dyDescent="0.3">
      <c r="A73" s="14" t="s">
        <v>183</v>
      </c>
      <c r="B73" s="14">
        <v>1702</v>
      </c>
      <c r="C73" s="14" t="s">
        <v>182</v>
      </c>
      <c r="D73" s="9" t="s">
        <v>184</v>
      </c>
      <c r="E73" s="10">
        <f t="shared" si="16"/>
        <v>14009300</v>
      </c>
      <c r="F73" s="11">
        <f>4401300+9608000</f>
        <v>14009300</v>
      </c>
      <c r="G73" s="11"/>
      <c r="H73" s="11"/>
      <c r="I73" s="11"/>
      <c r="J73" s="10">
        <f t="shared" si="17"/>
        <v>0</v>
      </c>
      <c r="K73" s="11"/>
      <c r="L73" s="11"/>
      <c r="M73" s="11"/>
      <c r="N73" s="11"/>
      <c r="O73" s="11"/>
      <c r="P73" s="10">
        <f t="shared" si="1"/>
        <v>14009300</v>
      </c>
      <c r="R73" s="23"/>
    </row>
    <row r="74" spans="1:18" ht="47.25" customHeight="1" x14ac:dyDescent="0.3">
      <c r="A74" s="35" t="s">
        <v>223</v>
      </c>
      <c r="B74" s="35">
        <v>3242</v>
      </c>
      <c r="C74" s="35">
        <v>1090</v>
      </c>
      <c r="D74" s="9" t="s">
        <v>66</v>
      </c>
      <c r="E74" s="10">
        <f>F74+I74</f>
        <v>45000</v>
      </c>
      <c r="F74" s="11">
        <v>45000</v>
      </c>
      <c r="G74" s="11"/>
      <c r="H74" s="11"/>
      <c r="I74" s="11"/>
      <c r="J74" s="10">
        <f>L74+O74</f>
        <v>0</v>
      </c>
      <c r="K74" s="11"/>
      <c r="L74" s="11"/>
      <c r="M74" s="11"/>
      <c r="N74" s="11"/>
      <c r="O74" s="11"/>
      <c r="P74" s="10">
        <f t="shared" si="1"/>
        <v>45000</v>
      </c>
      <c r="R74" s="23">
        <v>1</v>
      </c>
    </row>
    <row r="75" spans="1:18" ht="23.25" hidden="1" customHeight="1" x14ac:dyDescent="0.3">
      <c r="A75" s="3" t="s">
        <v>143</v>
      </c>
      <c r="B75" s="3" t="s">
        <v>144</v>
      </c>
      <c r="C75" s="3" t="s">
        <v>145</v>
      </c>
      <c r="D75" s="9" t="s">
        <v>146</v>
      </c>
      <c r="E75" s="10">
        <f t="shared" si="16"/>
        <v>3941850</v>
      </c>
      <c r="F75" s="11">
        <f>3926850+15000-34000</f>
        <v>3907850</v>
      </c>
      <c r="G75" s="11">
        <v>2668650</v>
      </c>
      <c r="H75" s="11">
        <f>565000+15000</f>
        <v>580000</v>
      </c>
      <c r="I75" s="11">
        <v>34000</v>
      </c>
      <c r="J75" s="10">
        <f t="shared" si="17"/>
        <v>0</v>
      </c>
      <c r="K75" s="11">
        <v>0</v>
      </c>
      <c r="L75" s="11">
        <v>0</v>
      </c>
      <c r="M75" s="11">
        <v>0</v>
      </c>
      <c r="N75" s="11">
        <v>0</v>
      </c>
      <c r="O75" s="11">
        <v>0</v>
      </c>
      <c r="P75" s="10">
        <f t="shared" si="1"/>
        <v>3941850</v>
      </c>
      <c r="R75" s="23"/>
    </row>
    <row r="76" spans="1:18" ht="45" customHeight="1" x14ac:dyDescent="0.3">
      <c r="A76" s="3" t="s">
        <v>147</v>
      </c>
      <c r="B76" s="3" t="s">
        <v>148</v>
      </c>
      <c r="C76" s="3" t="s">
        <v>149</v>
      </c>
      <c r="D76" s="9" t="s">
        <v>150</v>
      </c>
      <c r="E76" s="10">
        <f t="shared" si="16"/>
        <v>5361801</v>
      </c>
      <c r="F76" s="11">
        <f>5321567+26434+28800+25000+30000-70000</f>
        <v>5361801</v>
      </c>
      <c r="G76" s="11">
        <v>3300000</v>
      </c>
      <c r="H76" s="11">
        <f>1034500+26434+25000+30000</f>
        <v>1115934</v>
      </c>
      <c r="I76" s="11">
        <v>0</v>
      </c>
      <c r="J76" s="10">
        <v>0</v>
      </c>
      <c r="K76" s="11">
        <v>0</v>
      </c>
      <c r="L76" s="11">
        <v>0</v>
      </c>
      <c r="M76" s="11">
        <v>0</v>
      </c>
      <c r="N76" s="11">
        <v>0</v>
      </c>
      <c r="O76" s="11">
        <v>0</v>
      </c>
      <c r="P76" s="10">
        <f t="shared" si="1"/>
        <v>5361801</v>
      </c>
      <c r="R76" s="23">
        <v>1</v>
      </c>
    </row>
    <row r="77" spans="1:18" hidden="1" x14ac:dyDescent="0.3">
      <c r="A77" s="3" t="s">
        <v>151</v>
      </c>
      <c r="B77" s="3" t="s">
        <v>152</v>
      </c>
      <c r="C77" s="3" t="s">
        <v>153</v>
      </c>
      <c r="D77" s="9" t="s">
        <v>154</v>
      </c>
      <c r="E77" s="10">
        <f t="shared" si="16"/>
        <v>100000</v>
      </c>
      <c r="F77" s="11">
        <v>100000</v>
      </c>
      <c r="G77" s="11">
        <v>0</v>
      </c>
      <c r="H77" s="11">
        <v>0</v>
      </c>
      <c r="I77" s="11">
        <v>0</v>
      </c>
      <c r="J77" s="10">
        <f>L77+O77</f>
        <v>0</v>
      </c>
      <c r="K77" s="11">
        <v>0</v>
      </c>
      <c r="L77" s="11">
        <v>0</v>
      </c>
      <c r="M77" s="11">
        <v>0</v>
      </c>
      <c r="N77" s="11">
        <v>0</v>
      </c>
      <c r="O77" s="11">
        <v>0</v>
      </c>
      <c r="P77" s="10">
        <f t="shared" si="1"/>
        <v>100000</v>
      </c>
      <c r="R77" s="23"/>
    </row>
    <row r="78" spans="1:18" ht="41.4" hidden="1" x14ac:dyDescent="0.3">
      <c r="A78" s="33" t="s">
        <v>155</v>
      </c>
      <c r="B78" s="33" t="s">
        <v>156</v>
      </c>
      <c r="C78" s="33" t="s">
        <v>157</v>
      </c>
      <c r="D78" s="9" t="s">
        <v>158</v>
      </c>
      <c r="E78" s="10">
        <f t="shared" ref="E78" si="21">F78+I78</f>
        <v>2495300</v>
      </c>
      <c r="F78" s="11">
        <f>2621100+93200+25000-244000</f>
        <v>2495300</v>
      </c>
      <c r="G78" s="11">
        <f>1916000-200000</f>
        <v>1716000</v>
      </c>
      <c r="H78" s="11">
        <f>81000+25000</f>
        <v>106000</v>
      </c>
      <c r="I78" s="11">
        <v>0</v>
      </c>
      <c r="J78" s="10">
        <f>L78+O78</f>
        <v>0</v>
      </c>
      <c r="K78" s="11">
        <v>0</v>
      </c>
      <c r="L78" s="11">
        <v>0</v>
      </c>
      <c r="M78" s="11">
        <v>0</v>
      </c>
      <c r="N78" s="11">
        <v>0</v>
      </c>
      <c r="O78" s="11">
        <v>0</v>
      </c>
      <c r="P78" s="10">
        <f t="shared" ref="P78" si="22">E78 + J78</f>
        <v>2495300</v>
      </c>
      <c r="R78" s="23"/>
    </row>
    <row r="79" spans="1:18" ht="41.4" hidden="1" x14ac:dyDescent="0.3">
      <c r="A79" s="22" t="s">
        <v>214</v>
      </c>
      <c r="B79" s="3">
        <v>9720</v>
      </c>
      <c r="C79" s="22" t="s">
        <v>26</v>
      </c>
      <c r="D79" s="9" t="s">
        <v>213</v>
      </c>
      <c r="E79" s="10">
        <f t="shared" si="16"/>
        <v>0</v>
      </c>
      <c r="F79" s="11">
        <v>0</v>
      </c>
      <c r="G79" s="11">
        <v>0</v>
      </c>
      <c r="H79" s="11">
        <v>0</v>
      </c>
      <c r="I79" s="11">
        <v>0</v>
      </c>
      <c r="J79" s="10">
        <f>L79+O79</f>
        <v>500000</v>
      </c>
      <c r="K79" s="11">
        <v>500000</v>
      </c>
      <c r="L79" s="11">
        <v>0</v>
      </c>
      <c r="M79" s="11">
        <v>0</v>
      </c>
      <c r="N79" s="11">
        <v>0</v>
      </c>
      <c r="O79" s="11">
        <v>500000</v>
      </c>
      <c r="P79" s="10">
        <f t="shared" si="1"/>
        <v>500000</v>
      </c>
      <c r="R79" s="23"/>
    </row>
    <row r="80" spans="1:18" ht="27.6" x14ac:dyDescent="0.3">
      <c r="A80" s="5" t="s">
        <v>159</v>
      </c>
      <c r="B80" s="5" t="s">
        <v>19</v>
      </c>
      <c r="C80" s="5" t="s">
        <v>19</v>
      </c>
      <c r="D80" s="6" t="s">
        <v>174</v>
      </c>
      <c r="E80" s="7">
        <f>E81</f>
        <v>5899860</v>
      </c>
      <c r="F80" s="8">
        <f>F81</f>
        <v>4150860</v>
      </c>
      <c r="G80" s="8">
        <f>G81</f>
        <v>1609750</v>
      </c>
      <c r="H80" s="8">
        <f>H81</f>
        <v>57595</v>
      </c>
      <c r="I80" s="8">
        <v>0</v>
      </c>
      <c r="J80" s="7">
        <f t="shared" ref="J80:O80" si="23">J81</f>
        <v>0</v>
      </c>
      <c r="K80" s="8">
        <f t="shared" si="23"/>
        <v>0</v>
      </c>
      <c r="L80" s="8">
        <f t="shared" si="23"/>
        <v>0</v>
      </c>
      <c r="M80" s="8">
        <f t="shared" si="23"/>
        <v>0</v>
      </c>
      <c r="N80" s="8">
        <f t="shared" si="23"/>
        <v>0</v>
      </c>
      <c r="O80" s="8">
        <f t="shared" si="23"/>
        <v>0</v>
      </c>
      <c r="P80" s="7">
        <f t="shared" si="1"/>
        <v>5899860</v>
      </c>
      <c r="R80" s="23">
        <v>1</v>
      </c>
    </row>
    <row r="81" spans="1:18" ht="27.6" x14ac:dyDescent="0.3">
      <c r="A81" s="5" t="s">
        <v>160</v>
      </c>
      <c r="B81" s="5" t="s">
        <v>19</v>
      </c>
      <c r="C81" s="5" t="s">
        <v>19</v>
      </c>
      <c r="D81" s="6" t="s">
        <v>175</v>
      </c>
      <c r="E81" s="7">
        <f>SUM(E82:E85)</f>
        <v>5899860</v>
      </c>
      <c r="F81" s="8">
        <f t="shared" ref="F81:O81" si="24">SUM(F82:F85)</f>
        <v>4150860</v>
      </c>
      <c r="G81" s="8">
        <f t="shared" si="24"/>
        <v>1609750</v>
      </c>
      <c r="H81" s="8">
        <f t="shared" si="24"/>
        <v>57595</v>
      </c>
      <c r="I81" s="8">
        <f t="shared" si="24"/>
        <v>1749000</v>
      </c>
      <c r="J81" s="7">
        <f t="shared" si="24"/>
        <v>0</v>
      </c>
      <c r="K81" s="8">
        <f t="shared" si="24"/>
        <v>0</v>
      </c>
      <c r="L81" s="8">
        <f t="shared" si="24"/>
        <v>0</v>
      </c>
      <c r="M81" s="8">
        <f t="shared" si="24"/>
        <v>0</v>
      </c>
      <c r="N81" s="8">
        <f t="shared" si="24"/>
        <v>0</v>
      </c>
      <c r="O81" s="8">
        <f t="shared" si="24"/>
        <v>0</v>
      </c>
      <c r="P81" s="7">
        <f t="shared" si="1"/>
        <v>5899860</v>
      </c>
      <c r="R81" s="23">
        <v>1</v>
      </c>
    </row>
    <row r="82" spans="1:18" ht="41.4" x14ac:dyDescent="0.3">
      <c r="A82" s="3" t="s">
        <v>161</v>
      </c>
      <c r="B82" s="3" t="s">
        <v>118</v>
      </c>
      <c r="C82" s="3" t="s">
        <v>23</v>
      </c>
      <c r="D82" s="9" t="s">
        <v>119</v>
      </c>
      <c r="E82" s="10">
        <f>F82+I82</f>
        <v>2016860</v>
      </c>
      <c r="F82" s="11">
        <f>1931860+85000</f>
        <v>2016860</v>
      </c>
      <c r="G82" s="11">
        <f>1524750+85000</f>
        <v>1609750</v>
      </c>
      <c r="H82" s="11">
        <f>57400+195</f>
        <v>57595</v>
      </c>
      <c r="I82" s="11">
        <v>0</v>
      </c>
      <c r="J82" s="10">
        <f>L82+O82</f>
        <v>0</v>
      </c>
      <c r="K82" s="11">
        <v>0</v>
      </c>
      <c r="L82" s="11">
        <v>0</v>
      </c>
      <c r="M82" s="11">
        <v>0</v>
      </c>
      <c r="N82" s="11">
        <v>0</v>
      </c>
      <c r="O82" s="11">
        <v>0</v>
      </c>
      <c r="P82" s="10">
        <f t="shared" si="1"/>
        <v>2016860</v>
      </c>
      <c r="R82" s="23">
        <v>1</v>
      </c>
    </row>
    <row r="83" spans="1:18" hidden="1" x14ac:dyDescent="0.3">
      <c r="A83" s="33">
        <v>3719150</v>
      </c>
      <c r="B83" s="33">
        <v>9150</v>
      </c>
      <c r="C83" s="33" t="s">
        <v>26</v>
      </c>
      <c r="D83" s="9" t="s">
        <v>215</v>
      </c>
      <c r="E83" s="10">
        <f>F83+I83</f>
        <v>600000</v>
      </c>
      <c r="F83" s="11">
        <v>0</v>
      </c>
      <c r="G83" s="11">
        <v>0</v>
      </c>
      <c r="H83" s="11">
        <v>0</v>
      </c>
      <c r="I83" s="11">
        <v>600000</v>
      </c>
      <c r="J83" s="10">
        <f>L83+O83</f>
        <v>0</v>
      </c>
      <c r="K83" s="11">
        <v>0</v>
      </c>
      <c r="L83" s="11">
        <v>0</v>
      </c>
      <c r="M83" s="11">
        <v>0</v>
      </c>
      <c r="N83" s="11">
        <v>0</v>
      </c>
      <c r="O83" s="11">
        <v>0</v>
      </c>
      <c r="P83" s="10">
        <f t="shared" si="1"/>
        <v>600000</v>
      </c>
      <c r="R83" s="23"/>
    </row>
    <row r="84" spans="1:18" x14ac:dyDescent="0.3">
      <c r="A84" s="16" t="s">
        <v>162</v>
      </c>
      <c r="B84" s="16" t="s">
        <v>163</v>
      </c>
      <c r="C84" s="16" t="s">
        <v>26</v>
      </c>
      <c r="D84" s="9" t="s">
        <v>164</v>
      </c>
      <c r="E84" s="10">
        <f>F84+I84</f>
        <v>800000</v>
      </c>
      <c r="F84" s="11">
        <f>1000000+100000-300000</f>
        <v>800000</v>
      </c>
      <c r="G84" s="11">
        <v>0</v>
      </c>
      <c r="H84" s="11">
        <v>0</v>
      </c>
      <c r="I84" s="11">
        <v>0</v>
      </c>
      <c r="J84" s="10">
        <f>L84+O84</f>
        <v>0</v>
      </c>
      <c r="K84" s="11">
        <v>0</v>
      </c>
      <c r="L84" s="11">
        <v>0</v>
      </c>
      <c r="M84" s="11">
        <v>0</v>
      </c>
      <c r="N84" s="11">
        <v>0</v>
      </c>
      <c r="O84" s="11">
        <v>0</v>
      </c>
      <c r="P84" s="10">
        <f t="shared" ref="P84" si="25">E84 + J84</f>
        <v>800000</v>
      </c>
      <c r="R84" s="23">
        <v>1</v>
      </c>
    </row>
    <row r="85" spans="1:18" ht="41.4" x14ac:dyDescent="0.3">
      <c r="A85" s="3">
        <v>3719800</v>
      </c>
      <c r="B85" s="3">
        <v>9800</v>
      </c>
      <c r="C85" s="3" t="s">
        <v>26</v>
      </c>
      <c r="D85" s="9" t="s">
        <v>194</v>
      </c>
      <c r="E85" s="10">
        <f>F85+I85</f>
        <v>2483000</v>
      </c>
      <c r="F85" s="11">
        <f>200000+100000+500000+10000+186000+138000+200000</f>
        <v>1334000</v>
      </c>
      <c r="G85" s="11">
        <v>0</v>
      </c>
      <c r="H85" s="11">
        <v>0</v>
      </c>
      <c r="I85" s="11">
        <f>199000+1000000-600000+50000+500000</f>
        <v>1149000</v>
      </c>
      <c r="J85" s="10">
        <f>L85+O85</f>
        <v>0</v>
      </c>
      <c r="K85" s="11">
        <v>0</v>
      </c>
      <c r="L85" s="11">
        <v>0</v>
      </c>
      <c r="M85" s="11">
        <v>0</v>
      </c>
      <c r="N85" s="11">
        <v>0</v>
      </c>
      <c r="O85" s="11">
        <v>0</v>
      </c>
      <c r="P85" s="10">
        <f t="shared" si="1"/>
        <v>2483000</v>
      </c>
      <c r="R85" s="23">
        <v>1</v>
      </c>
    </row>
    <row r="86" spans="1:18" x14ac:dyDescent="0.3">
      <c r="A86" s="12" t="s">
        <v>166</v>
      </c>
      <c r="B86" s="12" t="s">
        <v>166</v>
      </c>
      <c r="C86" s="12" t="s">
        <v>166</v>
      </c>
      <c r="D86" s="13" t="s">
        <v>165</v>
      </c>
      <c r="E86" s="7">
        <f t="shared" ref="E86:O86" si="26">E20+E52+E81</f>
        <v>381777267</v>
      </c>
      <c r="F86" s="7">
        <f t="shared" si="26"/>
        <v>365575939.64999998</v>
      </c>
      <c r="G86" s="7">
        <f t="shared" si="26"/>
        <v>231560623</v>
      </c>
      <c r="H86" s="7">
        <f t="shared" si="26"/>
        <v>26539029</v>
      </c>
      <c r="I86" s="7">
        <f t="shared" si="26"/>
        <v>16201327.35</v>
      </c>
      <c r="J86" s="7">
        <f t="shared" si="26"/>
        <v>10769200</v>
      </c>
      <c r="K86" s="7">
        <f t="shared" si="26"/>
        <v>3509200</v>
      </c>
      <c r="L86" s="7">
        <f t="shared" si="26"/>
        <v>2130000</v>
      </c>
      <c r="M86" s="7">
        <f t="shared" si="26"/>
        <v>150000</v>
      </c>
      <c r="N86" s="7">
        <f t="shared" si="26"/>
        <v>0</v>
      </c>
      <c r="O86" s="7">
        <f t="shared" si="26"/>
        <v>8639200</v>
      </c>
      <c r="P86" s="7">
        <f t="shared" si="1"/>
        <v>392546467</v>
      </c>
      <c r="R86" s="23">
        <v>1</v>
      </c>
    </row>
    <row r="90" spans="1:18" x14ac:dyDescent="0.3">
      <c r="A90" s="47"/>
      <c r="B90" s="47"/>
      <c r="C90" s="47"/>
      <c r="D90" s="47"/>
      <c r="E90" s="47"/>
      <c r="F90" s="47"/>
      <c r="G90" s="47"/>
      <c r="H90" s="47"/>
      <c r="I90" s="47"/>
      <c r="J90" s="47"/>
      <c r="K90" s="47"/>
      <c r="L90" s="47"/>
      <c r="M90" s="47"/>
      <c r="N90" s="47"/>
      <c r="O90" s="47"/>
      <c r="P90" s="47"/>
    </row>
    <row r="91" spans="1:18" s="39" customFormat="1" ht="17.399999999999999" x14ac:dyDescent="0.3">
      <c r="C91" s="41" t="s">
        <v>169</v>
      </c>
      <c r="D91" s="41"/>
      <c r="J91" s="41"/>
      <c r="K91" s="41"/>
      <c r="M91" s="48" t="s">
        <v>176</v>
      </c>
      <c r="N91" s="48"/>
      <c r="O91" s="48"/>
    </row>
    <row r="93" spans="1:18" ht="43.5" customHeight="1" x14ac:dyDescent="0.3"/>
    <row r="94" spans="1:18" ht="12" customHeight="1" x14ac:dyDescent="0.3">
      <c r="D94" s="21" t="s">
        <v>189</v>
      </c>
      <c r="E94" s="20">
        <v>317494967</v>
      </c>
      <c r="F94" s="20">
        <v>302286267</v>
      </c>
      <c r="G94" s="20">
        <v>180714778</v>
      </c>
      <c r="H94" s="20">
        <v>26538834</v>
      </c>
      <c r="I94" s="20">
        <v>15208700</v>
      </c>
      <c r="J94" s="20">
        <v>10569200</v>
      </c>
      <c r="K94" s="20">
        <v>3309200</v>
      </c>
      <c r="L94" s="20">
        <v>2130000</v>
      </c>
      <c r="M94" s="20">
        <v>150000</v>
      </c>
      <c r="N94" s="20">
        <v>0</v>
      </c>
      <c r="O94" s="20">
        <v>8439200</v>
      </c>
      <c r="P94" s="20">
        <v>328064167</v>
      </c>
    </row>
    <row r="95" spans="1:18" ht="15.75" customHeight="1" x14ac:dyDescent="0.3">
      <c r="E95" s="19">
        <f t="shared" ref="E95:P95" si="27">E86-E94</f>
        <v>64282300</v>
      </c>
      <c r="F95" s="19">
        <f t="shared" si="27"/>
        <v>63289672.649999976</v>
      </c>
      <c r="G95" s="19">
        <f t="shared" si="27"/>
        <v>50845845</v>
      </c>
      <c r="H95" s="19">
        <f t="shared" si="27"/>
        <v>195</v>
      </c>
      <c r="I95" s="19">
        <f t="shared" si="27"/>
        <v>992627.34999999963</v>
      </c>
      <c r="J95" s="19">
        <f t="shared" si="27"/>
        <v>200000</v>
      </c>
      <c r="K95" s="19">
        <f t="shared" si="27"/>
        <v>200000</v>
      </c>
      <c r="L95" s="19">
        <f t="shared" si="27"/>
        <v>0</v>
      </c>
      <c r="M95" s="19">
        <f t="shared" si="27"/>
        <v>0</v>
      </c>
      <c r="N95" s="19">
        <f t="shared" si="27"/>
        <v>0</v>
      </c>
      <c r="O95" s="19">
        <f t="shared" si="27"/>
        <v>200000</v>
      </c>
      <c r="P95" s="19">
        <f t="shared" si="27"/>
        <v>64482300</v>
      </c>
    </row>
    <row r="97" spans="5:16" x14ac:dyDescent="0.3">
      <c r="E97" s="20"/>
      <c r="F97" s="20"/>
      <c r="G97" s="20"/>
      <c r="H97" s="20"/>
      <c r="I97" s="20"/>
      <c r="J97" s="21"/>
      <c r="K97" s="21"/>
      <c r="L97" s="20"/>
      <c r="M97" s="21"/>
      <c r="N97" s="21"/>
      <c r="O97" s="20"/>
      <c r="P97" s="20"/>
    </row>
    <row r="98" spans="5:16" x14ac:dyDescent="0.3">
      <c r="E98" s="27"/>
      <c r="F98" s="27"/>
      <c r="G98" s="27"/>
      <c r="H98" s="27"/>
      <c r="I98" s="27"/>
      <c r="J98" s="27"/>
      <c r="K98" s="27"/>
      <c r="L98" s="27"/>
      <c r="M98" s="27"/>
      <c r="N98" s="27"/>
      <c r="O98" s="27"/>
      <c r="P98" s="27"/>
    </row>
  </sheetData>
  <autoFilter ref="A18:R86">
    <filterColumn colId="17">
      <customFilters>
        <customFilter operator="notEqual" val=" "/>
      </customFilters>
    </filterColumn>
  </autoFilter>
  <mergeCells count="29">
    <mergeCell ref="J91:K91"/>
    <mergeCell ref="A90:P90"/>
    <mergeCell ref="G16:G17"/>
    <mergeCell ref="H16:H17"/>
    <mergeCell ref="I15:I17"/>
    <mergeCell ref="M91:O91"/>
    <mergeCell ref="J14:O14"/>
    <mergeCell ref="J15:J17"/>
    <mergeCell ref="K15:K17"/>
    <mergeCell ref="L15:L17"/>
    <mergeCell ref="M15:N15"/>
    <mergeCell ref="M16:M17"/>
    <mergeCell ref="N16:N17"/>
    <mergeCell ref="O7:P7"/>
    <mergeCell ref="O8:P8"/>
    <mergeCell ref="O9:P9"/>
    <mergeCell ref="C91:D91"/>
    <mergeCell ref="A10:P10"/>
    <mergeCell ref="A11:P11"/>
    <mergeCell ref="A14:A17"/>
    <mergeCell ref="B14:B17"/>
    <mergeCell ref="C14:C17"/>
    <mergeCell ref="D14:D17"/>
    <mergeCell ref="E14:I14"/>
    <mergeCell ref="E15:E17"/>
    <mergeCell ref="F15:F17"/>
    <mergeCell ref="G15:H15"/>
    <mergeCell ref="O15:O17"/>
    <mergeCell ref="P14:P17"/>
  </mergeCells>
  <pageMargins left="0.19685039370078741" right="0.19685039370078741" top="0.78740157480314965" bottom="0.19685039370078741" header="0" footer="0"/>
  <pageSetup paperSize="9" scale="6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Аркуш1</vt:lpstr>
      <vt:lpstr>Аркуш1!Заголовки_для_печати</vt:lpstr>
      <vt:lpstr>Аркуш1!Область_печати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2026-09-18T08:17:13Z</cp:lastPrinted>
  <dcterms:created xsi:type="dcterms:W3CDTF">2025-12-18T06:46:29Z</dcterms:created>
  <dcterms:modified xsi:type="dcterms:W3CDTF">2026-09-28T05:53:24Z</dcterms:modified>
</cp:coreProperties>
</file>